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25" activeTab="1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F12" i="2"/>
  <c r="H21" i="14"/>
  <c r="G21"/>
  <c r="F21"/>
  <c r="I19" i="19"/>
  <c r="I17"/>
  <c r="I18"/>
  <c r="I13"/>
  <c r="I10"/>
  <c r="G10" i="20"/>
  <c r="G11"/>
  <c r="G9"/>
  <c r="C15" i="2"/>
  <c r="C14"/>
  <c r="C13"/>
  <c r="C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 s="1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3"/>
  <c r="F14"/>
  <c r="F15"/>
  <c r="F16"/>
  <c r="F20"/>
  <c r="F21"/>
  <c r="F22"/>
  <c r="F23"/>
  <c r="F27"/>
  <c r="F28"/>
  <c r="F29"/>
  <c r="F30"/>
  <c r="F34"/>
  <c r="F35"/>
  <c r="F36"/>
  <c r="F37"/>
  <c r="F42"/>
  <c r="F43"/>
  <c r="F44"/>
  <c r="F45"/>
  <c r="F46"/>
  <c r="F47"/>
  <c r="F50"/>
  <c r="H9" i="18" s="1"/>
  <c r="I16" s="1"/>
  <c r="I22" s="1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J34" i="19" l="1"/>
  <c r="I41" s="1"/>
  <c r="I32" i="18" s="1"/>
  <c r="B4" i="10" s="1"/>
  <c r="E19" s="1"/>
  <c r="J36" i="19"/>
  <c r="I45" i="20"/>
  <c r="H47" s="1"/>
  <c r="I49" l="1"/>
  <c r="I53" s="1"/>
  <c r="I24" i="18" s="1"/>
  <c r="I26" s="1"/>
  <c r="I30" s="1"/>
  <c r="N46" i="20"/>
  <c r="B5" i="10" l="1"/>
  <c r="E17" s="1"/>
  <c r="I36" i="18"/>
  <c r="G34"/>
  <c r="I34" s="1"/>
  <c r="E21" i="10" l="1"/>
  <c r="F25"/>
</calcChain>
</file>

<file path=xl/sharedStrings.xml><?xml version="1.0" encoding="utf-8"?>
<sst xmlns="http://schemas.openxmlformats.org/spreadsheetml/2006/main" count="907" uniqueCount="541">
  <si>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</si>
  <si>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</si>
  <si>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</si>
  <si>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</si>
  <si>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</si>
  <si>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</si>
  <si>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</si>
  <si>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</si>
  <si>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</si>
  <si>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</si>
  <si>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</si>
  <si>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</si>
  <si>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</si>
  <si>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</si>
  <si>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</si>
  <si>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</si>
  <si>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</si>
  <si>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</si>
  <si>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</si>
  <si>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</si>
  <si>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</si>
  <si>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</si>
  <si>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</si>
  <si>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</si>
  <si>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</si>
  <si>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</si>
  <si>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</si>
  <si>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</si>
  <si>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</si>
  <si>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</si>
  <si>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</si>
  <si>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2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</si>
  <si>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</si>
  <si>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</si>
  <si>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</si>
  <si>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</si>
  <si>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2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</si>
  <si>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</si>
  <si>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</si>
  <si>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</si>
  <si>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</si>
  <si>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</si>
  <si>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</si>
  <si>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</si>
  <si>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</si>
  <si>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.ºC)</t>
    </r>
  </si>
  <si>
    <t>Pontes térmicas</t>
  </si>
  <si>
    <r>
      <t>τ</t>
    </r>
    <r>
      <rPr>
        <sz val="10"/>
        <rFont val="Arial"/>
        <family val="2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</si>
  <si>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</si>
  <si>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</si>
  <si>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</si>
  <si>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</si>
  <si>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</si>
  <si>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</si>
  <si>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</si>
  <si>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</si>
  <si>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</si>
  <si>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</si>
  <si>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</si>
  <si>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</si>
  <si>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</si>
  <si>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</si>
  <si>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</si>
  <si>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</si>
  <si>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</si>
  <si>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</si>
  <si>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</si>
  <si>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</si>
  <si>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</si>
  <si>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</si>
  <si>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</si>
  <si>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</si>
  <si>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</si>
  <si>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</si>
  <si>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</si>
  <si>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</si>
  <si>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</si>
  <si>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</si>
  <si>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</si>
  <si>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</si>
  <si>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</si>
  <si>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</si>
  <si>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</si>
  <si>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</si>
  <si>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</si>
  <si>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</si>
  <si>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</si>
  <si>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</si>
  <si>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</si>
  <si>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</si>
  <si>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</si>
  <si>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</si>
  <si>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</si>
  <si>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</si>
  <si>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</si>
  <si>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</si>
  <si>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</si>
  <si>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</si>
  <si>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</si>
  <si>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</si>
  <si>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</si>
  <si>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</si>
  <si>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</si>
  <si>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</si>
  <si>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</si>
  <si>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</si>
  <si>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</si>
  <si>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</si>
  <si>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</si>
  <si>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</si>
  <si>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</si>
  <si>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</si>
  <si>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</si>
  <si>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</si>
  <si>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</si>
  <si>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</si>
  <si>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</si>
  <si>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</si>
  <si>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</si>
  <si>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</si>
  <si>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</si>
  <si>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</si>
  <si>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</si>
  <si>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</si>
  <si>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</si>
  <si>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</si>
  <si>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</si>
  <si>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</si>
  <si>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</si>
  <si>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</si>
  <si>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</si>
  <si>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</si>
  <si>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</si>
  <si>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</si>
  <si>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</si>
  <si>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</si>
  <si>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</si>
  <si>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</si>
  <si>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</si>
  <si>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</si>
  <si>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</si>
  <si>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</si>
  <si>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</si>
  <si>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</si>
  <si>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</si>
  <si>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</si>
  <si>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</si>
  <si>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</si>
  <si>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</si>
  <si>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</si>
  <si>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</si>
  <si>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</si>
  <si>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</si>
  <si>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</si>
  <si>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</si>
  <si>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</si>
  <si>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</si>
  <si>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</si>
  <si>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</si>
  <si>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</si>
  <si>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</si>
  <si>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</si>
  <si>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</si>
  <si>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</si>
  <si>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</si>
  <si>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</si>
  <si>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</si>
  <si>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</si>
  <si>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</si>
  <si>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</si>
  <si>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2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</si>
  <si>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</si>
  <si>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</si>
  <si>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</si>
  <si>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</si>
  <si>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</si>
  <si>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</si>
  <si>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</si>
  <si>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</si>
  <si>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</si>
  <si>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</si>
  <si>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</si>
  <si>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</si>
  <si>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</si>
  <si>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</si>
  <si>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</si>
  <si>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</si>
  <si>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</si>
  <si>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</si>
  <si>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</si>
  <si>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</si>
  <si>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</si>
  <si>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</si>
  <si>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</si>
  <si>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</si>
  <si>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</si>
  <si>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</si>
  <si>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</si>
  <si>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</si>
  <si>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</si>
  <si>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</si>
  <si>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</si>
  <si>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</si>
  <si>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</si>
  <si>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</si>
  <si>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</si>
  <si>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</si>
  <si>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</si>
  <si>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</si>
  <si>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</si>
  <si>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</si>
  <si>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</si>
  <si>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</si>
  <si>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</si>
  <si>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</si>
  <si>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</si>
  <si>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</si>
  <si>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</si>
  <si>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</si>
  <si>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</si>
  <si>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</si>
  <si>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</si>
  <si>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</si>
  <si>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</si>
  <si>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</si>
  <si>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</si>
  <si>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</si>
  <si>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</si>
  <si>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</si>
  <si>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</si>
  <si>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</si>
  <si>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</si>
  <si>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</si>
  <si>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</si>
  <si>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</si>
  <si>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</si>
  <si>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</si>
  <si>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</si>
  <si>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</si>
  <si>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</si>
  <si>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</si>
  <si>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</si>
  <si>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</si>
  <si>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</si>
  <si>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</si>
  <si>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</si>
  <si>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</si>
  <si>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</si>
  <si>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</si>
  <si>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</si>
  <si>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2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</si>
  <si>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</si>
  <si>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</si>
  <si>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</si>
  <si>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</si>
  <si>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</si>
  <si>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</si>
  <si>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</si>
  <si>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</si>
  <si>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</si>
  <si>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</si>
  <si>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</si>
  <si>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</si>
  <si>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</si>
  <si>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</si>
  <si>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</si>
  <si>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</si>
  <si>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</si>
  <si>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</si>
  <si>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</si>
  <si>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</si>
  <si>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</si>
  <si>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</si>
  <si>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</si>
  <si>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</si>
  <si>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</si>
  <si>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</si>
  <si>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</si>
  <si>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</si>
  <si>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</si>
  <si>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</si>
  <si>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</si>
  <si>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</si>
  <si>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</si>
  <si>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</si>
  <si>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</si>
  <si>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</si>
  <si>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</si>
  <si>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</si>
  <si>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</si>
  <si>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2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</si>
  <si>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</si>
  <si>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</si>
  <si>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</si>
  <si>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</si>
  <si>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</si>
  <si>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</si>
  <si>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</si>
  <si>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</si>
  <si>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</si>
  <si>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</si>
  <si>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</si>
  <si>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</si>
  <si>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</si>
  <si>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</si>
  <si>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</si>
  <si>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</si>
  <si>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</si>
  <si>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</si>
  <si>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</si>
  <si>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</si>
  <si>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</si>
  <si>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</si>
  <si>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</si>
  <si>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</si>
  <si>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</si>
  <si>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</si>
  <si>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</si>
  <si>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</si>
  <si>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</si>
  <si>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</si>
  <si>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</si>
  <si>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</si>
  <si>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</si>
  <si>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</si>
  <si>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</si>
  <si>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</si>
  <si>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</si>
  <si>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</si>
  <si>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</si>
  <si>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</si>
  <si>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</si>
  <si>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</si>
  <si>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</si>
  <si>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</si>
  <si>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</si>
  <si>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</si>
  <si>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</si>
  <si>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</si>
  <si>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</si>
  <si>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</si>
  <si>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</si>
  <si>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</si>
  <si>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</si>
  <si>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</si>
  <si>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</si>
  <si>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</si>
  <si>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</si>
  <si>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</si>
  <si>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</si>
  <si>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</si>
  <si>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</si>
  <si>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</si>
  <si>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</si>
  <si>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</si>
  <si>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</si>
  <si>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</si>
  <si>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</si>
  <si>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</si>
  <si>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</si>
  <si>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</si>
  <si>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</si>
  <si>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</si>
  <si>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</si>
  <si>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</si>
  <si>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</si>
  <si>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</si>
  <si>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</si>
  <si>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</si>
  <si>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</si>
  <si>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</si>
  <si>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</si>
  <si>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</si>
  <si>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</si>
  <si>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</si>
  <si>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</si>
  <si>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</si>
  <si>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</si>
  <si>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</si>
  <si>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</si>
  <si>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</si>
  <si>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</si>
  <si>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</si>
  <si>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</si>
  <si>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</si>
  <si>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</si>
  <si>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</si>
  <si>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</si>
  <si>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</si>
  <si>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</si>
  <si>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</si>
  <si>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</si>
  <si>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</si>
  <si>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</si>
  <si>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</si>
  <si>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</si>
  <si>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</si>
  <si>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</si>
  <si>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</si>
  <si>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</si>
  <si>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</si>
  <si>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</si>
  <si>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</si>
  <si>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</si>
  <si>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</si>
  <si>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</si>
  <si>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</si>
  <si>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</si>
  <si>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</si>
  <si>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</si>
  <si>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</si>
  <si>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</si>
  <si>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</si>
  <si>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</si>
  <si>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</si>
  <si>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</si>
  <si>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</si>
  <si>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</si>
  <si>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</si>
  <si>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</si>
  <si>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</si>
  <si>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</si>
  <si>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</si>
  <si>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</si>
  <si>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</si>
  <si>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</si>
  <si>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</si>
  <si>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</si>
  <si>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</si>
  <si>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</si>
  <si>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</si>
  <si>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</si>
  <si>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</si>
  <si>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</si>
  <si>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</si>
  <si>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</si>
  <si>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</si>
  <si>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</si>
  <si>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</si>
  <si>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</si>
  <si>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</si>
  <si>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</si>
  <si>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</si>
  <si>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</si>
  <si>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>Nº de ocupantes</t>
    </r>
    <r>
      <rPr>
        <sz val="10"/>
        <rFont val="Arial"/>
        <family val="2"/>
      </rPr>
      <t xml:space="preserve"> (Quadro VI.1)</t>
    </r>
  </si>
  <si>
    <r>
      <t>Consumo médio diário de referência de AQS</t>
    </r>
    <r>
      <rPr>
        <sz val="10"/>
        <rFont val="Arial"/>
        <family val="2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2"/>
      </rPr>
      <t>)</t>
    </r>
  </si>
  <si>
    <r>
      <t xml:space="preserve">Aumento de temperatura necessário </t>
    </r>
    <r>
      <rPr>
        <sz val="10"/>
        <rFont val="Arial"/>
        <family val="2"/>
      </rPr>
      <t>(</t>
    </r>
    <r>
      <rPr>
        <sz val="10"/>
        <rFont val="Arial"/>
        <family val="2"/>
      </rPr>
      <t>Δ</t>
    </r>
    <r>
      <rPr>
        <sz val="10"/>
        <rFont val="Arial"/>
        <family val="2"/>
      </rPr>
      <t>T)</t>
    </r>
  </si>
  <si>
    <r>
      <t>Número anual de dias de consumo</t>
    </r>
    <r>
      <rPr>
        <sz val="10"/>
        <rFont val="Arial"/>
        <family val="2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</si>
  <si>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Energia despendida com sistemas convencionais</t>
    </r>
    <r>
      <rPr>
        <sz val="10"/>
        <rFont val="Arial"/>
        <family val="2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</si>
  <si>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Eficiência de conversão do sistema de preparação de AQS</t>
    </r>
    <r>
      <rPr>
        <sz val="10"/>
        <rFont val="Arial"/>
        <family val="2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</si>
  <si>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</si>
  <si>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</si>
  <si>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</si>
  <si>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</si>
  <si>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</si>
  <si>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</si>
  <si>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</si>
  <si>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</si>
  <si>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</si>
  <si>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</si>
  <si>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</si>
  <si>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</si>
  <si>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</si>
  <si>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</si>
  <si>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</si>
  <si>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</si>
  <si>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</si>
  <si>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</si>
  <si>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</si>
  <si>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</si>
  <si>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</si>
  <si>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</si>
  <si>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</si>
  <si>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</si>
  <si>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</si>
  <si>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</si>
  <si>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</si>
  <si>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</si>
  <si>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</si>
  <si>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</si>
  <si>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</si>
  <si>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</si>
  <si>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</si>
  <si>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</si>
  <si>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</si>
  <si>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</si>
  <si>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</si>
  <si>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</si>
  <si>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</si>
  <si>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</si>
  <si>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</si>
  <si>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</si>
  <si>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</si>
  <si>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</si>
  <si>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</si>
  <si>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</si>
  <si>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</si>
  <si>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</si>
  <si>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</si>
  <si>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</si>
  <si>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</si>
  <si>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</si>
  <si>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</si>
  <si>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</si>
  <si>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</si>
  <si>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</si>
  <si>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</si>
  <si>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</si>
  <si>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</si>
  <si>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</si>
  <si>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</si>
  <si>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</si>
  <si>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</si>
  <si>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</si>
  <si>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</si>
  <si>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</si>
  <si>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</si>
  <si>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</si>
  <si>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</si>
  <si>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</si>
  <si>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</si>
  <si>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</si>
  <si>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</si>
  <si>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</si>
  <si>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</si>
  <si>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s/c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</si>
  <si>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</si>
  <si>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</si>
  <si>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</si>
  <si>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</si>
  <si>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</si>
  <si>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</si>
  <si>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</si>
  <si>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</si>
  <si>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</si>
  <si>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</si>
  <si>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</si>
  <si>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Classe C</t>
  </si>
  <si>
    <t>Porta 2 Zona Comum (Mad. esp.0,04m)</t>
  </si>
  <si>
    <t>Parede 3 Zona Comum (esp.0,35m)</t>
  </si>
  <si>
    <t>Verificar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</si>
</sst>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2" xfId="0" applyNumberForma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5" fillId="0" borderId="44" xfId="0" applyFont="1" applyBorder="1" applyAlignment="1">
      <alignment horizontal="left"/>
    </xf>
    <xf numFmtId="0" fontId="0" fillId="0" borderId="44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8" xfId="0" applyBorder="1"/>
    <xf numFmtId="0" fontId="0" fillId="0" borderId="49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49" xfId="0" applyFont="1" applyBorder="1"/>
    <xf numFmtId="0" fontId="0" fillId="0" borderId="50" xfId="0" applyBorder="1"/>
    <xf numFmtId="2" fontId="0" fillId="0" borderId="50" xfId="0" applyNumberFormat="1" applyBorder="1"/>
    <xf numFmtId="0" fontId="0" fillId="0" borderId="51" xfId="0" applyBorder="1"/>
    <xf numFmtId="0" fontId="0" fillId="0" borderId="8" xfId="0" applyBorder="1" applyAlignment="1">
      <alignment horizontal="center"/>
    </xf>
    <xf numFmtId="0" fontId="0" fillId="0" borderId="49" xfId="0" applyFill="1" applyBorder="1"/>
    <xf numFmtId="0" fontId="0" fillId="0" borderId="51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49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49" xfId="0" applyFont="1" applyFill="1" applyBorder="1"/>
    <xf numFmtId="0" fontId="0" fillId="3" borderId="3" xfId="0" applyFill="1" applyBorder="1"/>
    <xf numFmtId="0" fontId="0" fillId="3" borderId="50" xfId="0" applyFill="1" applyBorder="1"/>
    <xf numFmtId="0" fontId="0" fillId="3" borderId="51" xfId="0" applyFill="1" applyBorder="1"/>
    <xf numFmtId="0" fontId="15" fillId="0" borderId="0" xfId="0" applyFont="1"/>
    <xf numFmtId="0" fontId="0" fillId="0" borderId="55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49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8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8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59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33" xfId="0" applyBorder="1"/>
    <xf numFmtId="0" fontId="0" fillId="0" borderId="62" xfId="0" applyBorder="1"/>
    <xf numFmtId="0" fontId="0" fillId="0" borderId="20" xfId="0" applyBorder="1"/>
    <xf numFmtId="0" fontId="0" fillId="0" borderId="23" xfId="0" applyBorder="1"/>
    <xf numFmtId="0" fontId="0" fillId="0" borderId="52" xfId="0" applyBorder="1"/>
    <xf numFmtId="0" fontId="0" fillId="0" borderId="24" xfId="0" applyBorder="1"/>
    <xf numFmtId="0" fontId="0" fillId="0" borderId="8" xfId="0" applyBorder="1"/>
    <xf numFmtId="0" fontId="0" fillId="0" borderId="53" xfId="0" applyBorder="1"/>
    <xf numFmtId="0" fontId="0" fillId="0" borderId="63" xfId="0" applyBorder="1"/>
    <xf numFmtId="0" fontId="2" fillId="0" borderId="0" xfId="0" applyFont="1" applyAlignment="1"/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49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7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4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/>
    <xf numFmtId="0" fontId="26" fillId="0" borderId="7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60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15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16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17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59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60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61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62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63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64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65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19" workbookViewId="0">
      <selection activeCell="B45" sqref="B45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11.8</v>
      </c>
      <c r="D8" s="6">
        <v>1.28</v>
      </c>
      <c r="E8" s="7">
        <f t="shared" ref="E8:E14" si="0">C8*D8</f>
        <v>15.104000000000001</v>
      </c>
    </row>
    <row r="9" spans="1:6">
      <c r="B9" s="6"/>
      <c r="C9" s="6"/>
      <c r="D9" s="6"/>
      <c r="E9" s="7">
        <f t="shared" si="0"/>
        <v>0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15.104000000000001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6">
      <c r="B33" s="6"/>
      <c r="C33" s="6"/>
      <c r="D33" s="6"/>
      <c r="E33" s="7">
        <f>C33*D33</f>
        <v>0</v>
      </c>
    </row>
    <row r="34" spans="2:6">
      <c r="B34" s="6"/>
      <c r="C34" s="6"/>
      <c r="D34" s="6"/>
      <c r="E34" s="7">
        <f>C34*D34</f>
        <v>0</v>
      </c>
    </row>
    <row r="35" spans="2:6">
      <c r="B35" s="6"/>
      <c r="C35" s="6"/>
      <c r="D35" s="6"/>
      <c r="E35" s="7">
        <f>C35*D35</f>
        <v>0</v>
      </c>
    </row>
    <row r="36" spans="2:6">
      <c r="D36" s="8" t="s">
        <v>7</v>
      </c>
      <c r="E36" s="9">
        <f>SUM(E33:E35)</f>
        <v>0</v>
      </c>
    </row>
    <row r="38" spans="2:6">
      <c r="B38" s="2" t="s">
        <v>17</v>
      </c>
      <c r="C38" s="3" t="s">
        <v>18</v>
      </c>
      <c r="D38" s="3" t="s">
        <v>12</v>
      </c>
      <c r="E38" s="3" t="s">
        <v>13</v>
      </c>
    </row>
    <row r="39" spans="2:6">
      <c r="B39" s="4" t="s">
        <v>19</v>
      </c>
      <c r="C39" s="5" t="s">
        <v>15</v>
      </c>
      <c r="D39" s="5" t="s">
        <v>16</v>
      </c>
      <c r="E39" s="5" t="s">
        <v>6</v>
      </c>
    </row>
    <row r="40" spans="2:6">
      <c r="B40" s="8" t="s">
        <v>20</v>
      </c>
      <c r="C40" s="272"/>
      <c r="D40" s="272"/>
      <c r="E40" s="7">
        <f t="shared" ref="E40:E48" si="1">C40*D40</f>
        <v>0</v>
      </c>
    </row>
    <row r="41" spans="2:6">
      <c r="B41" s="8" t="s">
        <v>511</v>
      </c>
      <c r="C41" s="272"/>
      <c r="D41" s="272"/>
      <c r="E41" s="7">
        <f t="shared" si="1"/>
        <v>0</v>
      </c>
    </row>
    <row r="42" spans="2:6">
      <c r="B42" s="8" t="s">
        <v>21</v>
      </c>
      <c r="C42" s="6">
        <v>5.45</v>
      </c>
      <c r="D42" s="6">
        <v>0.55000000000000004</v>
      </c>
      <c r="E42" s="7">
        <f t="shared" si="1"/>
        <v>2.9975000000000005</v>
      </c>
    </row>
    <row r="43" spans="2:6">
      <c r="B43" s="8" t="s">
        <v>22</v>
      </c>
      <c r="C43" s="6">
        <v>5.45</v>
      </c>
      <c r="D43" s="6">
        <v>0.75</v>
      </c>
      <c r="E43" s="7">
        <f t="shared" si="1"/>
        <v>4.0875000000000004</v>
      </c>
    </row>
    <row r="44" spans="2:6">
      <c r="B44" s="8" t="s">
        <v>23</v>
      </c>
      <c r="C44" s="272"/>
      <c r="D44" s="272"/>
      <c r="E44" s="7">
        <f t="shared" si="1"/>
        <v>0</v>
      </c>
    </row>
    <row r="45" spans="2:6">
      <c r="B45" s="8" t="s">
        <v>24</v>
      </c>
      <c r="C45" s="6">
        <v>2.37</v>
      </c>
      <c r="D45" s="6">
        <v>0.25</v>
      </c>
      <c r="E45" s="7">
        <f t="shared" si="1"/>
        <v>0.59250000000000003</v>
      </c>
      <c r="F45" t="s">
        <v>540</v>
      </c>
    </row>
    <row r="46" spans="2:6">
      <c r="B46" s="8" t="s">
        <v>25</v>
      </c>
      <c r="C46" s="272"/>
      <c r="D46" s="272"/>
      <c r="E46" s="7">
        <f t="shared" si="1"/>
        <v>0</v>
      </c>
    </row>
    <row r="47" spans="2:6">
      <c r="B47" s="11" t="s">
        <v>26</v>
      </c>
      <c r="C47" s="6">
        <v>6.48</v>
      </c>
      <c r="D47" s="6">
        <v>0.2</v>
      </c>
      <c r="E47" s="7">
        <f t="shared" si="1"/>
        <v>1.2960000000000003</v>
      </c>
    </row>
    <row r="48" spans="2:6">
      <c r="B48" s="11" t="s">
        <v>27</v>
      </c>
      <c r="C48" s="6"/>
      <c r="D48" s="6"/>
      <c r="E48" s="7">
        <f t="shared" si="1"/>
        <v>0</v>
      </c>
    </row>
    <row r="49" spans="2:5">
      <c r="B49" s="12"/>
      <c r="D49" s="13" t="s">
        <v>7</v>
      </c>
      <c r="E49" s="14">
        <f>SUM(E40:E48)</f>
        <v>8.9735000000000014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24.077500000000001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J35" sqref="J35"/>
    </sheetView>
  </sheetViews>
  <sheetFormatPr defaultRowHeight="12.75"/>
  <cols>
    <col min="6" max="6" width="17.285156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532</v>
      </c>
    </row>
    <row r="9" spans="1:15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 ht="14.25">
      <c r="A13" t="s">
        <v>253</v>
      </c>
      <c r="F13" s="6">
        <v>1.28</v>
      </c>
      <c r="G13" s="6"/>
      <c r="H13" s="6"/>
      <c r="I13" s="6"/>
      <c r="J13" s="6"/>
      <c r="K13" s="6"/>
      <c r="L13" s="6"/>
      <c r="M13" s="6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4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1:14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>
      <c r="A21" t="s">
        <v>255</v>
      </c>
      <c r="B21" t="s">
        <v>6</v>
      </c>
      <c r="F21" s="7">
        <f>F9*F13*F17</f>
        <v>6.0416000000000007</v>
      </c>
      <c r="G21" s="7">
        <f t="shared" ref="G21:M21" si="0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4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1:14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1:14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79.749120000000019</v>
      </c>
      <c r="G33" s="9">
        <f t="shared" ref="G33:M33" si="1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79.749120000000019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F34" sqref="F34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533</v>
      </c>
      <c r="G8" s="161" t="s">
        <v>534</v>
      </c>
      <c r="H8" s="161" t="s">
        <v>535</v>
      </c>
    </row>
    <row r="9" spans="1:15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>
        <f>0.8*0.9</f>
        <v>0.72000000000000008</v>
      </c>
      <c r="I21" s="6"/>
      <c r="J21" s="6"/>
      <c r="K21" s="6"/>
      <c r="L21" s="6"/>
      <c r="M21" s="6"/>
    </row>
    <row r="23" spans="1:1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1:1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5">
      <c r="A29" t="s">
        <v>267</v>
      </c>
      <c r="F29" s="7">
        <f>F9*F13*F17*F21*F25</f>
        <v>0.1588026384</v>
      </c>
      <c r="G29" s="7">
        <f t="shared" ref="G29:M29" si="0">G9*G13*G17*G21*G25</f>
        <v>3.4909056000000008E-2</v>
      </c>
      <c r="H29" s="7">
        <f>H9*H13*H17*H21*H25</f>
        <v>1.9636344000000007E-2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52.404870672000001</v>
      </c>
      <c r="G37" s="9">
        <f t="shared" ref="G37:M37" si="1">G29*G33</f>
        <v>11.519988480000002</v>
      </c>
      <c r="H37" s="9">
        <f t="shared" si="1"/>
        <v>6.4799935200000025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70.404852672000004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N36" sqref="N36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7"/>
      <c r="C6" s="63"/>
      <c r="D6" s="63"/>
      <c r="E6" s="63"/>
      <c r="F6" s="63"/>
      <c r="G6" s="63"/>
      <c r="H6" s="63"/>
      <c r="I6" s="139"/>
    </row>
    <row r="7" spans="1:11" ht="14.25">
      <c r="B7" s="140" t="s">
        <v>272</v>
      </c>
      <c r="C7" s="35"/>
      <c r="D7" s="35"/>
      <c r="E7" s="35"/>
      <c r="F7" s="35"/>
      <c r="G7" s="35"/>
      <c r="H7" s="61">
        <f>FCIV.1e!H31</f>
        <v>4</v>
      </c>
      <c r="I7" s="142"/>
    </row>
    <row r="8" spans="1:11">
      <c r="B8" s="140" t="s">
        <v>153</v>
      </c>
      <c r="C8" s="35"/>
      <c r="D8" s="35"/>
      <c r="E8" s="35"/>
      <c r="F8" s="35"/>
      <c r="G8" s="35"/>
      <c r="H8" s="35"/>
      <c r="I8" s="142"/>
    </row>
    <row r="9" spans="1:11">
      <c r="B9" s="140"/>
      <c r="C9" s="35"/>
      <c r="D9" s="35"/>
      <c r="E9" s="35"/>
      <c r="F9" s="35"/>
      <c r="G9" s="35"/>
      <c r="H9" s="38" t="s">
        <v>64</v>
      </c>
      <c r="I9" s="142"/>
    </row>
    <row r="10" spans="1:11">
      <c r="B10" s="140"/>
      <c r="C10" s="35"/>
      <c r="D10" s="35"/>
      <c r="E10" s="35"/>
      <c r="F10" s="35"/>
      <c r="G10" s="35"/>
      <c r="H10" s="35"/>
      <c r="I10" s="142"/>
    </row>
    <row r="11" spans="1:11">
      <c r="B11" s="140" t="s">
        <v>216</v>
      </c>
      <c r="C11" s="35"/>
      <c r="D11" s="35"/>
      <c r="E11" s="35"/>
      <c r="F11" s="35"/>
      <c r="G11" s="35"/>
      <c r="H11" s="8">
        <f>FCIV.1d!G5</f>
        <v>39.92</v>
      </c>
      <c r="I11" s="142"/>
    </row>
    <row r="12" spans="1:11">
      <c r="B12" s="140"/>
      <c r="C12" s="35"/>
      <c r="D12" s="35"/>
      <c r="E12" s="35"/>
      <c r="F12" s="35"/>
      <c r="G12" s="35"/>
      <c r="H12" s="35"/>
      <c r="I12" s="142"/>
    </row>
    <row r="13" spans="1:11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1:11">
      <c r="B14" s="140"/>
      <c r="C14" s="35"/>
      <c r="D14" s="35"/>
      <c r="E14" s="35"/>
      <c r="F14" s="35"/>
      <c r="G14" s="35"/>
      <c r="H14" s="35"/>
      <c r="I14" s="142"/>
    </row>
    <row r="15" spans="1:11">
      <c r="B15" s="140"/>
      <c r="C15" s="35"/>
      <c r="D15" s="35"/>
      <c r="E15" s="35"/>
      <c r="F15" s="35"/>
      <c r="G15" s="35"/>
      <c r="H15" s="36">
        <v>2.9279999999999999</v>
      </c>
      <c r="I15" s="142"/>
    </row>
    <row r="16" spans="1:11">
      <c r="B16" s="140"/>
      <c r="C16" s="35"/>
      <c r="D16" s="35"/>
      <c r="E16" s="35"/>
      <c r="F16" s="35"/>
      <c r="G16" s="35"/>
      <c r="H16" s="36"/>
      <c r="I16" s="142"/>
    </row>
    <row r="17" spans="1:11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1:11" ht="13.5" thickBot="1">
      <c r="B18" s="140"/>
      <c r="C18" s="35"/>
      <c r="D18" s="35"/>
      <c r="E18" s="35"/>
      <c r="F18" s="35"/>
      <c r="G18" s="35"/>
      <c r="H18" s="35"/>
      <c r="I18" s="142"/>
    </row>
    <row r="19" spans="1:11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467.54304000000002</v>
      </c>
      <c r="I19" s="160" t="s">
        <v>270</v>
      </c>
    </row>
    <row r="20" spans="1:11">
      <c r="B20" s="4"/>
      <c r="C20" s="145"/>
      <c r="D20" s="145"/>
      <c r="E20" s="145"/>
      <c r="F20" s="145"/>
      <c r="G20" s="145"/>
      <c r="H20" s="145"/>
      <c r="I20" s="147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1:11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FCV.1d!N37</f>
        <v>70.404852672000004</v>
      </c>
      <c r="I33" s="160" t="s">
        <v>270</v>
      </c>
    </row>
    <row r="34" spans="1:9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1:9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1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FCV.1c!N33</f>
        <v>79.749120000000019</v>
      </c>
      <c r="I37" s="160" t="s">
        <v>270</v>
      </c>
    </row>
    <row r="38" spans="1:9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1:9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1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467.54304000000002</v>
      </c>
      <c r="I41" s="160" t="s">
        <v>270</v>
      </c>
    </row>
    <row r="42" spans="1:9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1:9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1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617.69701267200003</v>
      </c>
      <c r="I45" s="160" t="s">
        <v>270</v>
      </c>
    </row>
    <row r="46" spans="1:9">
      <c r="B46" s="4"/>
      <c r="C46" s="145"/>
      <c r="D46" s="145"/>
      <c r="E46" s="145"/>
      <c r="F46" s="145"/>
      <c r="G46" s="145"/>
      <c r="H46" s="146"/>
      <c r="I46" s="147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1" workbookViewId="0">
      <selection activeCell="H51" sqref="H51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13">
      <c r="A5" s="158"/>
      <c r="B5" s="16" t="s">
        <v>280</v>
      </c>
      <c r="H5" s="9">
        <f>FCV.1ef!H45</f>
        <v>617.69701267200003</v>
      </c>
      <c r="I5" s="17" t="s">
        <v>240</v>
      </c>
    </row>
    <row r="6" spans="1:13">
      <c r="B6" t="s">
        <v>283</v>
      </c>
      <c r="H6" s="100" t="s">
        <v>284</v>
      </c>
    </row>
    <row r="7" spans="1:13">
      <c r="H7" s="100" t="s">
        <v>100</v>
      </c>
    </row>
    <row r="9" spans="1:13">
      <c r="A9" s="158"/>
      <c r="B9" s="16" t="s">
        <v>285</v>
      </c>
      <c r="H9" s="9">
        <f>FCV.1a!I35</f>
        <v>288.04143313920002</v>
      </c>
      <c r="I9" s="17" t="s">
        <v>240</v>
      </c>
      <c r="K9" s="163" t="s">
        <v>160</v>
      </c>
      <c r="L9" s="164"/>
      <c r="M9" s="165"/>
    </row>
    <row r="10" spans="1:13">
      <c r="B10" t="s">
        <v>286</v>
      </c>
      <c r="K10" s="166"/>
      <c r="L10" s="167"/>
      <c r="M10" s="168"/>
    </row>
    <row r="11" spans="1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:13">
      <c r="K12" s="166" t="s">
        <v>287</v>
      </c>
      <c r="L12" s="170" t="s">
        <v>164</v>
      </c>
      <c r="M12" s="168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2.1444727792806439</v>
      </c>
      <c r="I13" s="17"/>
      <c r="K13" s="171" t="s">
        <v>290</v>
      </c>
      <c r="L13" s="170" t="s">
        <v>164</v>
      </c>
      <c r="M13" s="168">
        <f>(1-H13^L11)/(1-H13^(L11+1))</f>
        <v>0.42972796959151766</v>
      </c>
    </row>
    <row r="14" spans="1:13">
      <c r="K14" s="172"/>
      <c r="L14" s="173"/>
      <c r="M14" s="174"/>
    </row>
    <row r="15" spans="1:13">
      <c r="B15" s="16" t="s">
        <v>291</v>
      </c>
      <c r="D15" s="175" t="s">
        <v>169</v>
      </c>
      <c r="H15" s="61">
        <f>FCIV.1e!D47</f>
        <v>2</v>
      </c>
    </row>
    <row r="16" spans="1:13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7"/>
      <c r="C18" s="63"/>
      <c r="D18" s="63"/>
      <c r="E18" s="63"/>
      <c r="F18" s="63"/>
      <c r="G18" s="63"/>
      <c r="H18" s="63"/>
      <c r="I18" s="63"/>
      <c r="J18" s="139"/>
    </row>
    <row r="19" spans="1:10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1:10">
      <c r="B20" s="140"/>
      <c r="C20" s="35"/>
      <c r="D20" s="35"/>
      <c r="E20" s="35"/>
      <c r="F20" s="35"/>
      <c r="G20" s="35"/>
      <c r="H20" s="35"/>
      <c r="I20" s="35"/>
      <c r="J20" s="142"/>
    </row>
    <row r="21" spans="1:10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1:10">
      <c r="B22" s="140"/>
      <c r="C22" s="35"/>
      <c r="D22" s="35"/>
      <c r="E22" s="35"/>
      <c r="F22" s="35"/>
      <c r="G22" s="35"/>
      <c r="H22" s="35"/>
      <c r="I22" s="35"/>
      <c r="J22" s="142"/>
    </row>
    <row r="23" spans="1:10">
      <c r="B23" s="140" t="s">
        <v>292</v>
      </c>
      <c r="C23" s="35"/>
      <c r="D23" s="35"/>
      <c r="E23" s="35"/>
      <c r="F23" s="35"/>
      <c r="G23" s="35"/>
      <c r="H23" s="61">
        <f>IF(H13=1,M12,M13)</f>
        <v>0.42972796959151766</v>
      </c>
      <c r="I23" s="35"/>
      <c r="J23" s="142"/>
    </row>
    <row r="24" spans="1:10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1:10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1:10">
      <c r="B26" s="140"/>
      <c r="C26" s="35"/>
      <c r="D26" s="35"/>
      <c r="E26" s="35"/>
      <c r="F26" s="35"/>
      <c r="G26" s="35"/>
      <c r="H26" s="35"/>
      <c r="I26" s="35"/>
      <c r="J26" s="142"/>
    </row>
    <row r="27" spans="1:10">
      <c r="B27" s="140"/>
      <c r="C27" s="35"/>
      <c r="D27" s="35"/>
      <c r="E27" s="35"/>
      <c r="F27" s="35"/>
      <c r="G27" s="35"/>
      <c r="H27" s="8">
        <f>H19-H23</f>
        <v>0.57027203040848229</v>
      </c>
      <c r="I27" s="35"/>
      <c r="J27" s="142"/>
    </row>
    <row r="28" spans="1:10">
      <c r="B28" s="140"/>
      <c r="C28" s="35"/>
      <c r="D28" s="35"/>
      <c r="E28" s="35"/>
      <c r="F28" s="35"/>
      <c r="G28" s="35"/>
      <c r="H28" s="35"/>
      <c r="I28" s="35"/>
      <c r="J28" s="142"/>
    </row>
    <row r="29" spans="1:10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1:10">
      <c r="B30" s="140"/>
      <c r="C30" s="35"/>
      <c r="D30" s="35"/>
      <c r="E30" s="35"/>
      <c r="F30" s="35"/>
      <c r="G30" s="35"/>
      <c r="H30" s="35"/>
      <c r="I30" s="35"/>
      <c r="J30" s="142"/>
    </row>
    <row r="31" spans="1:10">
      <c r="A31" s="158"/>
      <c r="B31" s="144" t="s">
        <v>280</v>
      </c>
      <c r="C31" s="35"/>
      <c r="D31" s="35"/>
      <c r="E31" s="35"/>
      <c r="F31" s="35"/>
      <c r="G31" s="35"/>
      <c r="H31" s="9">
        <f>H5</f>
        <v>617.69701267200003</v>
      </c>
      <c r="I31" s="177" t="s">
        <v>240</v>
      </c>
      <c r="J31" s="142"/>
    </row>
    <row r="32" spans="1:10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>
      <c r="B34" s="144"/>
      <c r="C34" s="35"/>
      <c r="D34" s="35"/>
      <c r="E34" s="35"/>
      <c r="F34" s="35"/>
      <c r="G34" s="35"/>
      <c r="H34" s="134"/>
      <c r="I34" s="36"/>
      <c r="J34" s="142"/>
    </row>
    <row r="35" spans="2:10">
      <c r="B35" s="144" t="s">
        <v>294</v>
      </c>
      <c r="C35" s="35"/>
      <c r="D35" s="35"/>
      <c r="E35" s="35"/>
      <c r="F35" s="35"/>
      <c r="G35" s="35"/>
      <c r="H35" s="178">
        <f>H27*H31</f>
        <v>352.25532959371549</v>
      </c>
      <c r="I35" s="177" t="s">
        <v>158</v>
      </c>
      <c r="J35" s="142"/>
    </row>
    <row r="36" spans="2:10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>
      <c r="B42" s="180"/>
      <c r="C42" s="35"/>
      <c r="D42" s="35"/>
      <c r="E42" s="35"/>
      <c r="F42" s="35"/>
      <c r="G42" s="35"/>
      <c r="H42" s="134"/>
      <c r="I42" s="36"/>
      <c r="J42" s="142"/>
    </row>
    <row r="43" spans="2:10">
      <c r="B43" s="180"/>
      <c r="C43" s="35"/>
      <c r="D43" s="35"/>
      <c r="E43" s="35"/>
      <c r="F43" s="35"/>
      <c r="G43" s="151" t="s">
        <v>7</v>
      </c>
      <c r="H43" s="178">
        <f>H35+H39</f>
        <v>352.25532959371549</v>
      </c>
      <c r="I43" s="177" t="s">
        <v>158</v>
      </c>
      <c r="J43" s="142"/>
    </row>
    <row r="44" spans="2:10">
      <c r="B44" s="180"/>
      <c r="C44" s="35"/>
      <c r="D44" s="35"/>
      <c r="E44" s="35"/>
      <c r="F44" s="35"/>
      <c r="G44" s="35"/>
      <c r="H44" s="134"/>
      <c r="I44" s="36"/>
      <c r="J44" s="142"/>
    </row>
    <row r="45" spans="2:10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FCIV.1d!G5</f>
        <v>39.92</v>
      </c>
      <c r="I47" s="177"/>
      <c r="J47" s="142"/>
    </row>
    <row r="48" spans="2:10">
      <c r="B48" s="140"/>
      <c r="C48" s="35"/>
      <c r="D48" s="35"/>
      <c r="E48" s="35"/>
      <c r="F48" s="35"/>
      <c r="G48" s="35"/>
      <c r="H48" s="143"/>
      <c r="I48" s="35"/>
      <c r="J48" s="142"/>
    </row>
    <row r="49" spans="1:10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1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1:10" ht="15" thickBot="1">
      <c r="B51" s="144" t="s">
        <v>298</v>
      </c>
      <c r="C51" s="35"/>
      <c r="D51" s="35"/>
      <c r="E51" s="35"/>
      <c r="F51" s="35"/>
      <c r="G51" s="35"/>
      <c r="H51" s="155">
        <f>H43/H47</f>
        <v>8.8240313024477821</v>
      </c>
      <c r="I51" s="177" t="s">
        <v>299</v>
      </c>
      <c r="J51" s="142"/>
    </row>
    <row r="52" spans="1:10">
      <c r="B52" s="140"/>
      <c r="C52" s="35"/>
      <c r="D52" s="35"/>
      <c r="E52" s="35"/>
      <c r="F52" s="35"/>
      <c r="G52" s="35"/>
      <c r="H52" s="35"/>
      <c r="I52" s="35"/>
      <c r="J52" s="142"/>
    </row>
    <row r="53" spans="1:10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1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1:10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27.57509782014932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24" sqref="C24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764.12750000000005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0.4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0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(C16/C18-C21-C23)/FCIV.1d!G5</f>
        <v>47.85367610220441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16.5" thickBot="1">
      <c r="B28" s="1" t="s">
        <v>453</v>
      </c>
      <c r="C28" s="159">
        <f>0.081*C7*C13/FCIV.1d!G5</f>
        <v>29.624248496993989</v>
      </c>
      <c r="D28" s="17" t="s">
        <v>443</v>
      </c>
      <c r="O28" s="183"/>
      <c r="P28" s="183"/>
      <c r="Q28" s="183"/>
    </row>
    <row r="31" spans="1:17">
      <c r="B31" s="259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17" sqref="E17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5" t="s">
        <v>456</v>
      </c>
      <c r="B4" s="260">
        <f>FCIV.2!I32</f>
        <v>68.476653232814172</v>
      </c>
      <c r="C4" s="186"/>
      <c r="D4" s="182"/>
    </row>
    <row r="5" spans="1:6" ht="14.25">
      <c r="A5" s="188" t="s">
        <v>457</v>
      </c>
      <c r="B5" s="261">
        <f>FCIV.2!I30</f>
        <v>98.130215053951446</v>
      </c>
      <c r="C5" s="183"/>
      <c r="D5" s="183"/>
    </row>
    <row r="6" spans="1:6" ht="14.25">
      <c r="A6" s="188" t="s">
        <v>458</v>
      </c>
      <c r="B6" s="261">
        <f>FCV.1g!H55</f>
        <v>32</v>
      </c>
      <c r="C6" s="183"/>
      <c r="D6" s="183"/>
    </row>
    <row r="7" spans="1:6" ht="14.25">
      <c r="A7" s="188" t="s">
        <v>459</v>
      </c>
      <c r="B7" s="261">
        <f>FCV.1g!H51</f>
        <v>8.8240313024477821</v>
      </c>
      <c r="C7" s="183"/>
      <c r="D7" s="183"/>
    </row>
    <row r="8" spans="1:6">
      <c r="A8" s="188" t="s">
        <v>460</v>
      </c>
      <c r="B8" s="261">
        <f>AQS!C28</f>
        <v>29.624248496993989</v>
      </c>
      <c r="C8" s="183"/>
      <c r="D8" s="183"/>
    </row>
    <row r="9" spans="1:6">
      <c r="A9" s="188" t="s">
        <v>461</v>
      </c>
      <c r="B9" s="261">
        <f>AQS!C26</f>
        <v>47.85367610220441</v>
      </c>
      <c r="C9" s="183"/>
      <c r="D9" s="183"/>
    </row>
    <row r="10" spans="1:6" ht="18.75">
      <c r="A10" s="262" t="s">
        <v>463</v>
      </c>
      <c r="B10" s="263">
        <v>1</v>
      </c>
      <c r="C10" s="269" t="s">
        <v>467</v>
      </c>
      <c r="D10" s="183"/>
    </row>
    <row r="11" spans="1:6" ht="18.75">
      <c r="A11" s="262" t="s">
        <v>464</v>
      </c>
      <c r="B11" s="263">
        <v>3</v>
      </c>
      <c r="C11" s="269" t="s">
        <v>467</v>
      </c>
      <c r="D11" s="183"/>
    </row>
    <row r="12" spans="1:6" ht="15.75">
      <c r="A12" s="188" t="s">
        <v>465</v>
      </c>
      <c r="B12" s="264">
        <v>0.28999999999999998</v>
      </c>
      <c r="C12" s="270" t="s">
        <v>468</v>
      </c>
      <c r="D12" s="191"/>
    </row>
    <row r="13" spans="1:6" ht="14.25">
      <c r="A13" s="188" t="s">
        <v>466</v>
      </c>
      <c r="B13" s="264">
        <v>0.28999999999999998</v>
      </c>
      <c r="C13" s="270" t="s">
        <v>468</v>
      </c>
      <c r="D13" s="191"/>
    </row>
    <row r="14" spans="1:6" ht="16.5" thickBot="1">
      <c r="A14" s="196" t="s">
        <v>462</v>
      </c>
      <c r="B14" s="267">
        <v>8.5999999999999993E-2</v>
      </c>
      <c r="C14" s="270" t="s">
        <v>468</v>
      </c>
      <c r="D14" s="191"/>
    </row>
    <row r="15" spans="1:6">
      <c r="A15" s="266"/>
      <c r="B15" s="265"/>
      <c r="C15" s="193"/>
      <c r="D15" s="183"/>
    </row>
    <row r="16" spans="1:6" ht="13.5" thickBot="1"/>
    <row r="17" spans="3:6" ht="16.5" thickBot="1">
      <c r="C17" s="268" t="s">
        <v>472</v>
      </c>
      <c r="E17" s="159">
        <f>0.1*(B5/B10)*B12+0.1*(B7/B11)*B13+B9*B14</f>
        <v>7.0464913506111664</v>
      </c>
      <c r="F17" s="17" t="s">
        <v>470</v>
      </c>
    </row>
    <row r="18" spans="3:6" ht="13.5" thickBot="1"/>
    <row r="19" spans="3:6" ht="16.5" thickBot="1">
      <c r="C19" s="268" t="s">
        <v>471</v>
      </c>
      <c r="E19" s="159">
        <f>0.9*(0.01*B4+0.01*B6+0.15*B8)</f>
        <v>4.9035634261895158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5" spans="3:6">
      <c r="E25" s="161" t="s">
        <v>536</v>
      </c>
      <c r="F25">
        <f>E17/E19</f>
        <v>1.4370144195497614</v>
      </c>
    </row>
    <row r="26" spans="3:6">
      <c r="F26" s="161" t="s">
        <v>537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4" t="s">
        <v>475</v>
      </c>
      <c r="B10" s="294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0" t="s">
        <v>477</v>
      </c>
      <c r="B14" s="290"/>
      <c r="C14" s="290"/>
      <c r="D14" s="290"/>
      <c r="E14" s="290"/>
    </row>
    <row r="15" spans="1:8">
      <c r="A15" s="98"/>
    </row>
    <row r="16" spans="1:8">
      <c r="A16" s="290" t="s">
        <v>478</v>
      </c>
      <c r="B16" s="290"/>
      <c r="C16" s="290"/>
      <c r="D16" s="290"/>
      <c r="E16" s="290"/>
    </row>
    <row r="17" spans="1:8">
      <c r="A17" s="99"/>
      <c r="B17" t="s">
        <v>313</v>
      </c>
    </row>
    <row r="18" spans="1:8">
      <c r="A18" s="99"/>
      <c r="B18" t="s">
        <v>314</v>
      </c>
    </row>
    <row r="19" spans="1:8">
      <c r="A19" s="99"/>
      <c r="B19" t="s">
        <v>473</v>
      </c>
    </row>
    <row r="20" spans="1:8" ht="13.5" thickBot="1">
      <c r="A20" s="99"/>
    </row>
    <row r="21" spans="1:8">
      <c r="A21" s="197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>
      <c r="A23" s="198"/>
      <c r="B23" s="104"/>
      <c r="C23" s="104"/>
      <c r="D23" s="104"/>
      <c r="E23" s="104"/>
      <c r="F23" s="104"/>
      <c r="G23" s="104"/>
      <c r="H23" s="133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199" t="s">
        <v>319</v>
      </c>
    </row>
    <row r="33" spans="1:8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8:H8"/>
    <mergeCell ref="A3:H3"/>
    <mergeCell ref="A4:H4"/>
    <mergeCell ref="A5:H5"/>
    <mergeCell ref="A6:H6"/>
    <mergeCell ref="A7:H7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1"/>
    </row>
    <row r="2" spans="1:14">
      <c r="G2" s="202"/>
      <c r="H2" s="35"/>
      <c r="I2" s="35"/>
      <c r="J2" s="35"/>
      <c r="K2" s="35"/>
    </row>
    <row r="3" spans="1:14">
      <c r="G3" s="202"/>
      <c r="H3" s="202"/>
      <c r="I3" s="202"/>
      <c r="J3" s="202"/>
    </row>
    <row r="4" spans="1:14">
      <c r="G4" s="202"/>
      <c r="H4" s="202"/>
      <c r="I4" s="202"/>
      <c r="J4" s="202"/>
    </row>
    <row r="5" spans="1:14">
      <c r="G5" s="202"/>
      <c r="H5" s="35"/>
      <c r="I5" s="35"/>
      <c r="J5" s="35"/>
    </row>
    <row r="6" spans="1:14">
      <c r="G6" s="202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>
      <c r="A12" s="338" t="s">
        <v>485</v>
      </c>
      <c r="B12" s="339"/>
      <c r="C12" s="253" t="s">
        <v>486</v>
      </c>
      <c r="D12" s="177"/>
      <c r="E12" s="253" t="s">
        <v>487</v>
      </c>
      <c r="F12" s="35"/>
      <c r="G12" s="35"/>
      <c r="H12" s="339" t="s">
        <v>490</v>
      </c>
      <c r="I12" s="339"/>
      <c r="J12" s="339"/>
      <c r="K12" s="77"/>
      <c r="M12" s="35"/>
      <c r="N12" s="202"/>
    </row>
    <row r="13" spans="1:14">
      <c r="A13" s="338" t="s">
        <v>488</v>
      </c>
      <c r="B13" s="339"/>
      <c r="C13" s="340" t="s">
        <v>489</v>
      </c>
      <c r="D13" s="284"/>
      <c r="E13" s="339" t="s">
        <v>491</v>
      </c>
      <c r="F13" s="339"/>
      <c r="G13" s="339"/>
      <c r="H13" s="339" t="s">
        <v>492</v>
      </c>
      <c r="I13" s="339"/>
      <c r="J13" s="284"/>
      <c r="K13" s="77"/>
      <c r="M13" s="35"/>
      <c r="N13" s="202"/>
    </row>
    <row r="14" spans="1:14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2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3"/>
      <c r="B18" s="335" t="s">
        <v>482</v>
      </c>
      <c r="C18" s="335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>
      <c r="A19" s="334"/>
      <c r="B19" s="336"/>
      <c r="C19" s="337"/>
      <c r="D19" s="331"/>
      <c r="E19" s="331"/>
      <c r="F19" s="331"/>
      <c r="G19" s="331"/>
      <c r="H19" s="331"/>
      <c r="I19" s="331"/>
      <c r="J19" s="331"/>
      <c r="K19" s="331"/>
    </row>
    <row r="20" spans="1:11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mergeCells count="18">
    <mergeCell ref="J18:J19"/>
    <mergeCell ref="K18:K19"/>
    <mergeCell ref="E18:E19"/>
    <mergeCell ref="F18:F19"/>
    <mergeCell ref="G18:G19"/>
    <mergeCell ref="A9:K9"/>
    <mergeCell ref="A12:B12"/>
    <mergeCell ref="H12:J12"/>
    <mergeCell ref="A13:B13"/>
    <mergeCell ref="C13:D13"/>
    <mergeCell ref="E13:G13"/>
    <mergeCell ref="H13:J13"/>
    <mergeCell ref="H18:H19"/>
    <mergeCell ref="I18:I19"/>
    <mergeCell ref="A17:A19"/>
    <mergeCell ref="B18:B19"/>
    <mergeCell ref="C18:C19"/>
    <mergeCell ref="D18:D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>
      <c r="A10" s="161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3.5" thickBot="1"/>
    <row r="12" spans="1:10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spans="1:10" ht="13.5" thickBot="1"/>
    <row r="16" spans="1:10" ht="13.5" thickBot="1">
      <c r="A16" s="397" t="s">
        <v>342</v>
      </c>
      <c r="B16" s="398"/>
      <c r="C16" s="399"/>
      <c r="D16" s="201"/>
      <c r="E16" s="35"/>
      <c r="F16" s="208"/>
      <c r="G16" s="208"/>
      <c r="H16" s="200"/>
      <c r="I16" s="200"/>
      <c r="J16" s="200"/>
    </row>
    <row r="17" spans="1:10">
      <c r="A17" s="382" t="s">
        <v>343</v>
      </c>
      <c r="B17" s="210" t="s">
        <v>127</v>
      </c>
      <c r="C17" s="211" t="s">
        <v>4</v>
      </c>
      <c r="D17" s="201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0" t="s">
        <v>499</v>
      </c>
      <c r="C18" s="211" t="s">
        <v>504</v>
      </c>
      <c r="D18" s="201"/>
      <c r="E18" s="34"/>
      <c r="F18" s="35"/>
      <c r="G18" s="390" t="s">
        <v>345</v>
      </c>
      <c r="H18" s="390"/>
      <c r="I18" s="400" t="s">
        <v>500</v>
      </c>
      <c r="J18" s="392"/>
    </row>
    <row r="19" spans="1:10">
      <c r="A19" s="212" t="s">
        <v>346</v>
      </c>
      <c r="B19" s="202"/>
      <c r="C19" s="213"/>
      <c r="D19" s="200"/>
      <c r="E19" s="382" t="s">
        <v>343</v>
      </c>
      <c r="F19" s="383"/>
      <c r="G19" s="200"/>
      <c r="H19" s="200"/>
      <c r="I19" s="200"/>
      <c r="J19" s="200"/>
    </row>
    <row r="20" spans="1:10">
      <c r="A20" s="212"/>
      <c r="B20" s="202"/>
      <c r="C20" s="213"/>
      <c r="D20" s="200"/>
      <c r="E20" s="382"/>
      <c r="F20" s="383"/>
      <c r="G20" s="372"/>
      <c r="H20" s="372"/>
      <c r="I20" s="372"/>
      <c r="J20" s="373"/>
    </row>
    <row r="21" spans="1:10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>
      <c r="A23" s="217" t="s">
        <v>348</v>
      </c>
      <c r="B23" s="202"/>
      <c r="C23" s="213"/>
      <c r="D23" s="200"/>
      <c r="E23" s="382" t="s">
        <v>349</v>
      </c>
      <c r="F23" s="383"/>
      <c r="G23" s="372"/>
      <c r="H23" s="372"/>
      <c r="I23" s="372"/>
      <c r="J23" s="373"/>
    </row>
    <row r="24" spans="1:10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>
      <c r="A27" s="212" t="s">
        <v>351</v>
      </c>
      <c r="B27" s="202"/>
      <c r="C27" s="213"/>
      <c r="D27" s="200"/>
      <c r="E27" s="387" t="s">
        <v>352</v>
      </c>
      <c r="F27" s="388"/>
      <c r="G27" s="388"/>
      <c r="H27" s="388"/>
      <c r="I27" s="388"/>
      <c r="J27" s="389"/>
    </row>
    <row r="28" spans="1:10" ht="15">
      <c r="A28" s="218" t="s">
        <v>353</v>
      </c>
      <c r="B28" s="202"/>
      <c r="C28" s="213"/>
      <c r="D28" s="200"/>
      <c r="E28" s="223"/>
      <c r="F28" s="224"/>
      <c r="G28" s="390" t="s">
        <v>345</v>
      </c>
      <c r="H28" s="390"/>
      <c r="I28" s="391" t="s">
        <v>501</v>
      </c>
      <c r="J28" s="392"/>
    </row>
    <row r="29" spans="1:10">
      <c r="A29" s="218" t="s">
        <v>354</v>
      </c>
      <c r="B29" s="202"/>
      <c r="C29" s="213"/>
      <c r="D29" s="200"/>
      <c r="E29" s="382" t="s">
        <v>355</v>
      </c>
      <c r="F29" s="383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82" t="s">
        <v>356</v>
      </c>
      <c r="F30" s="383"/>
      <c r="G30" s="226"/>
      <c r="H30" s="202"/>
      <c r="I30" s="202"/>
      <c r="J30" s="213"/>
    </row>
    <row r="31" spans="1:10">
      <c r="A31" s="218" t="s">
        <v>357</v>
      </c>
      <c r="B31" s="202"/>
      <c r="C31" s="213"/>
      <c r="D31" s="200"/>
      <c r="E31" s="377" t="s">
        <v>358</v>
      </c>
      <c r="F31" s="378"/>
      <c r="G31" s="372"/>
      <c r="H31" s="372"/>
      <c r="I31" s="372"/>
      <c r="J31" s="373"/>
    </row>
    <row r="32" spans="1:10">
      <c r="A32" s="212" t="s">
        <v>359</v>
      </c>
      <c r="B32" s="202"/>
      <c r="C32" s="213"/>
      <c r="D32" s="200"/>
      <c r="E32" s="377" t="s">
        <v>360</v>
      </c>
      <c r="F32" s="378"/>
      <c r="G32" s="372"/>
      <c r="H32" s="372"/>
      <c r="I32" s="372"/>
      <c r="J32" s="373"/>
    </row>
    <row r="33" spans="1:10">
      <c r="A33" s="212" t="s">
        <v>361</v>
      </c>
      <c r="B33" s="202"/>
      <c r="C33" s="213"/>
      <c r="D33" s="200"/>
      <c r="E33" s="384" t="s">
        <v>362</v>
      </c>
      <c r="F33" s="385"/>
      <c r="G33" s="202"/>
      <c r="H33" s="202"/>
      <c r="I33" s="202"/>
      <c r="J33" s="213"/>
    </row>
    <row r="34" spans="1:10">
      <c r="A34" s="227" t="s">
        <v>363</v>
      </c>
      <c r="B34" s="202"/>
      <c r="C34" s="213"/>
      <c r="D34" s="200"/>
      <c r="E34" s="386"/>
      <c r="F34" s="385"/>
      <c r="G34" s="202"/>
      <c r="H34" s="202"/>
      <c r="I34" s="202"/>
      <c r="J34" s="213"/>
    </row>
    <row r="35" spans="1:10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>
      <c r="A36" s="212" t="s">
        <v>365</v>
      </c>
      <c r="B36" s="202"/>
      <c r="C36" s="213"/>
      <c r="D36" s="200"/>
      <c r="E36" s="382" t="s">
        <v>355</v>
      </c>
      <c r="F36" s="383"/>
      <c r="G36" s="202"/>
      <c r="H36" s="202"/>
      <c r="I36" s="202"/>
      <c r="J36" s="213"/>
    </row>
    <row r="37" spans="1:10">
      <c r="A37" s="212" t="s">
        <v>366</v>
      </c>
      <c r="B37" s="35"/>
      <c r="C37" s="37"/>
      <c r="E37" s="377" t="s">
        <v>367</v>
      </c>
      <c r="F37" s="378"/>
      <c r="G37" s="372"/>
      <c r="H37" s="372"/>
      <c r="I37" s="372"/>
      <c r="J37" s="373"/>
    </row>
    <row r="38" spans="1:10">
      <c r="A38" s="217" t="s">
        <v>348</v>
      </c>
      <c r="B38" s="35"/>
      <c r="C38" s="230"/>
      <c r="E38" s="377" t="s">
        <v>368</v>
      </c>
      <c r="F38" s="378"/>
      <c r="G38" s="372"/>
      <c r="H38" s="372"/>
      <c r="I38" s="372"/>
      <c r="J38" s="373"/>
    </row>
    <row r="39" spans="1:10" ht="13.5" thickBot="1">
      <c r="A39" s="231"/>
      <c r="B39" s="40"/>
      <c r="C39" s="42"/>
      <c r="E39" s="377" t="s">
        <v>369</v>
      </c>
      <c r="F39" s="378"/>
      <c r="G39" s="372"/>
      <c r="H39" s="372"/>
      <c r="I39" s="372"/>
      <c r="J39" s="373"/>
    </row>
    <row r="40" spans="1:10" ht="13.5" thickBot="1">
      <c r="A40" s="200"/>
      <c r="E40" s="377" t="s">
        <v>370</v>
      </c>
      <c r="F40" s="378"/>
      <c r="G40" s="372"/>
      <c r="H40" s="372"/>
      <c r="I40" s="372"/>
      <c r="J40" s="373"/>
    </row>
    <row r="41" spans="1:10">
      <c r="A41" s="379" t="s">
        <v>371</v>
      </c>
      <c r="B41" s="380"/>
      <c r="C41" s="381"/>
      <c r="E41" s="227"/>
      <c r="F41" s="35"/>
      <c r="G41" s="35"/>
      <c r="H41" s="35"/>
      <c r="I41" s="35"/>
      <c r="J41" s="37"/>
    </row>
    <row r="42" spans="1:10">
      <c r="A42" s="232" t="s">
        <v>372</v>
      </c>
      <c r="B42" s="366" t="s">
        <v>373</v>
      </c>
      <c r="C42" s="367"/>
      <c r="E42" s="368" t="s">
        <v>374</v>
      </c>
      <c r="F42" s="369"/>
      <c r="G42" s="372"/>
      <c r="H42" s="372"/>
      <c r="I42" s="372"/>
      <c r="J42" s="373"/>
    </row>
    <row r="43" spans="1:10" ht="13.5" thickBot="1">
      <c r="A43" s="233"/>
      <c r="B43" s="374"/>
      <c r="C43" s="375"/>
      <c r="E43" s="370"/>
      <c r="F43" s="371"/>
      <c r="G43" s="40"/>
      <c r="H43" s="40"/>
      <c r="I43" s="40"/>
      <c r="J43" s="42"/>
    </row>
    <row r="44" spans="1:10" ht="13.5" thickBot="1"/>
    <row r="45" spans="1:10">
      <c r="A45" s="347" t="s">
        <v>375</v>
      </c>
      <c r="B45" s="361" t="s">
        <v>498</v>
      </c>
      <c r="C45" s="362"/>
      <c r="D45" s="362"/>
      <c r="E45" s="362"/>
      <c r="F45" s="362"/>
      <c r="G45" s="362"/>
      <c r="H45" s="362"/>
      <c r="I45" s="362"/>
      <c r="J45" s="363"/>
    </row>
    <row r="46" spans="1:10">
      <c r="A46" s="359"/>
      <c r="B46" s="356" t="s">
        <v>376</v>
      </c>
      <c r="C46" s="341" t="s">
        <v>377</v>
      </c>
      <c r="D46" s="341" t="s">
        <v>378</v>
      </c>
      <c r="E46" s="341" t="s">
        <v>379</v>
      </c>
      <c r="F46" s="341" t="s">
        <v>380</v>
      </c>
      <c r="G46" s="341" t="s">
        <v>381</v>
      </c>
      <c r="H46" s="341" t="s">
        <v>382</v>
      </c>
      <c r="I46" s="341" t="s">
        <v>383</v>
      </c>
      <c r="J46" s="344" t="s">
        <v>384</v>
      </c>
    </row>
    <row r="47" spans="1:10" ht="13.5" thickBot="1">
      <c r="A47" s="360"/>
      <c r="B47" s="358"/>
      <c r="C47" s="343"/>
      <c r="D47" s="343"/>
      <c r="E47" s="343"/>
      <c r="F47" s="343"/>
      <c r="G47" s="343"/>
      <c r="H47" s="343"/>
      <c r="I47" s="343"/>
      <c r="J47" s="376"/>
    </row>
    <row r="48" spans="1:10">
      <c r="A48" s="364"/>
      <c r="B48" s="356"/>
      <c r="C48" s="341"/>
      <c r="D48" s="341"/>
      <c r="E48" s="341"/>
      <c r="F48" s="341"/>
      <c r="G48" s="341"/>
      <c r="H48" s="341"/>
      <c r="I48" s="341"/>
      <c r="J48" s="344"/>
    </row>
    <row r="49" spans="1:10">
      <c r="A49" s="365"/>
      <c r="B49" s="358"/>
      <c r="C49" s="343"/>
      <c r="D49" s="343"/>
      <c r="E49" s="343"/>
      <c r="F49" s="343"/>
      <c r="G49" s="343"/>
      <c r="H49" s="343"/>
      <c r="I49" s="343"/>
      <c r="J49" s="349"/>
    </row>
    <row r="50" spans="1:10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>
      <c r="A52" s="350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>
      <c r="A53" s="351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>
      <c r="A54" s="352"/>
      <c r="B54" s="245"/>
      <c r="C54" s="13"/>
      <c r="D54" s="13"/>
      <c r="E54" s="13"/>
      <c r="F54" s="13"/>
      <c r="G54" s="13"/>
      <c r="H54" s="13"/>
      <c r="I54" s="13"/>
      <c r="J54" s="235"/>
    </row>
    <row r="55" spans="1:10">
      <c r="A55" s="353"/>
      <c r="B55" s="356"/>
      <c r="C55" s="341"/>
      <c r="D55" s="341"/>
      <c r="E55" s="341"/>
      <c r="F55" s="341"/>
      <c r="G55" s="341"/>
      <c r="H55" s="341"/>
      <c r="I55" s="341"/>
      <c r="J55" s="344"/>
    </row>
    <row r="56" spans="1:10">
      <c r="A56" s="354"/>
      <c r="B56" s="357"/>
      <c r="C56" s="342"/>
      <c r="D56" s="342"/>
      <c r="E56" s="342"/>
      <c r="F56" s="342"/>
      <c r="G56" s="342"/>
      <c r="H56" s="342"/>
      <c r="I56" s="342"/>
      <c r="J56" s="345"/>
    </row>
    <row r="57" spans="1:10" ht="13.5" thickBot="1">
      <c r="A57" s="355"/>
      <c r="B57" s="358"/>
      <c r="C57" s="343"/>
      <c r="D57" s="343"/>
      <c r="E57" s="343"/>
      <c r="F57" s="343"/>
      <c r="G57" s="343"/>
      <c r="H57" s="343"/>
      <c r="I57" s="343"/>
      <c r="J57" s="346"/>
    </row>
    <row r="58" spans="1:10">
      <c r="A58" s="347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8"/>
      <c r="B59" s="307"/>
      <c r="C59" s="307"/>
      <c r="D59" s="307"/>
      <c r="E59" s="307"/>
      <c r="F59" s="307"/>
      <c r="G59" s="307"/>
      <c r="H59" s="307"/>
      <c r="I59" s="307"/>
      <c r="J59" s="308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I46:I47"/>
    <mergeCell ref="B42:C42"/>
    <mergeCell ref="E42:F43"/>
    <mergeCell ref="G42:H42"/>
    <mergeCell ref="I42:J42"/>
    <mergeCell ref="B43:C43"/>
    <mergeCell ref="J46:J47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99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99"/>
    </row>
    <row r="7" spans="1:10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10">
      <c r="A11" s="290" t="s">
        <v>389</v>
      </c>
      <c r="B11" s="290"/>
    </row>
    <row r="12" spans="1:10">
      <c r="A12" s="290" t="s">
        <v>390</v>
      </c>
      <c r="B12" s="290"/>
    </row>
    <row r="13" spans="1:10">
      <c r="A13" s="290" t="s">
        <v>391</v>
      </c>
      <c r="B13" s="290"/>
    </row>
    <row r="15" spans="1:10">
      <c r="A15" t="s">
        <v>392</v>
      </c>
    </row>
    <row r="16" spans="1:10">
      <c r="A16" s="246"/>
      <c r="B16" s="247"/>
      <c r="C16" s="290" t="s">
        <v>393</v>
      </c>
      <c r="D16" s="290"/>
      <c r="E16" s="145"/>
      <c r="F16" s="201" t="s">
        <v>503</v>
      </c>
    </row>
    <row r="17" spans="1:9">
      <c r="A17" s="246"/>
      <c r="B17" s="248"/>
      <c r="C17" s="290" t="s">
        <v>394</v>
      </c>
      <c r="D17" s="290"/>
      <c r="E17" s="249"/>
      <c r="F17" s="201" t="s">
        <v>503</v>
      </c>
    </row>
    <row r="18" spans="1:9">
      <c r="A18" t="s">
        <v>395</v>
      </c>
      <c r="B18" s="250"/>
      <c r="C18" s="290" t="s">
        <v>396</v>
      </c>
      <c r="D18" s="290"/>
      <c r="E18" s="249"/>
      <c r="F18" s="201" t="s">
        <v>503</v>
      </c>
    </row>
    <row r="19" spans="1:9">
      <c r="A19" t="s">
        <v>395</v>
      </c>
      <c r="B19" s="250"/>
      <c r="C19" s="290" t="s">
        <v>185</v>
      </c>
      <c r="D19" s="290"/>
      <c r="E19" s="249"/>
      <c r="F19" s="201" t="s">
        <v>503</v>
      </c>
    </row>
    <row r="20" spans="1:9">
      <c r="A20" t="s">
        <v>395</v>
      </c>
      <c r="B20" s="250"/>
      <c r="C20" s="290" t="s">
        <v>397</v>
      </c>
      <c r="D20" s="290"/>
      <c r="E20" s="249"/>
      <c r="F20" s="201" t="s">
        <v>503</v>
      </c>
    </row>
    <row r="21" spans="1:9">
      <c r="A21" t="s">
        <v>398</v>
      </c>
      <c r="B21" s="250"/>
      <c r="C21" s="290" t="s">
        <v>399</v>
      </c>
      <c r="D21" s="290"/>
      <c r="E21" s="249"/>
      <c r="F21" s="201" t="s">
        <v>503</v>
      </c>
    </row>
    <row r="22" spans="1:9">
      <c r="B22" s="250"/>
      <c r="C22" s="290" t="s">
        <v>400</v>
      </c>
      <c r="D22" s="290"/>
      <c r="E22" s="249"/>
      <c r="F22" s="201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7"/>
      <c r="F27" s="247"/>
    </row>
    <row r="28" spans="1:9">
      <c r="A28" t="s">
        <v>404</v>
      </c>
      <c r="D28" s="249"/>
      <c r="F28" s="249"/>
    </row>
    <row r="29" spans="1:9">
      <c r="A29" t="s">
        <v>404</v>
      </c>
      <c r="D29" s="249"/>
      <c r="F29" s="249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5"/>
      <c r="C56" s="145"/>
      <c r="D56" s="145"/>
      <c r="E56" s="145"/>
      <c r="F56" s="145"/>
      <c r="G56" s="145"/>
    </row>
  </sheetData>
  <mergeCells count="18">
    <mergeCell ref="A3:I3"/>
    <mergeCell ref="A4:I4"/>
    <mergeCell ref="A5:I5"/>
    <mergeCell ref="A6:I6"/>
    <mergeCell ref="A13:B13"/>
    <mergeCell ref="C17:D17"/>
    <mergeCell ref="C18:D18"/>
    <mergeCell ref="A7:I7"/>
    <mergeCell ref="A8:I8"/>
    <mergeCell ref="A11:B11"/>
    <mergeCell ref="A12:B12"/>
    <mergeCell ref="C16:D16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4" workbookViewId="0">
      <selection activeCell="E28" sqref="E28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273" t="s">
        <v>513</v>
      </c>
      <c r="C8" s="6">
        <v>1.55</v>
      </c>
      <c r="D8" s="6">
        <v>1.79</v>
      </c>
      <c r="E8" s="6">
        <v>0.7</v>
      </c>
      <c r="F8" s="22">
        <f>C8*D8*E8</f>
        <v>1.94215</v>
      </c>
    </row>
    <row r="9" spans="1:7">
      <c r="B9" s="273" t="s">
        <v>514</v>
      </c>
      <c r="C9" s="22">
        <f>1.93*0.65</f>
        <v>1.2544999999999999</v>
      </c>
      <c r="D9" s="6">
        <v>2.08</v>
      </c>
      <c r="E9" s="6">
        <v>0.7</v>
      </c>
      <c r="F9" s="22">
        <f t="shared" ref="F9:F15" si="0">C9*D9*E9</f>
        <v>1.826552</v>
      </c>
    </row>
    <row r="10" spans="1:7">
      <c r="B10" s="273" t="s">
        <v>515</v>
      </c>
      <c r="C10" s="6">
        <v>0.21</v>
      </c>
      <c r="D10" s="6">
        <v>2.56</v>
      </c>
      <c r="E10" s="6">
        <v>0.7</v>
      </c>
      <c r="F10" s="22">
        <f t="shared" si="0"/>
        <v>0.37631999999999993</v>
      </c>
    </row>
    <row r="11" spans="1:7">
      <c r="B11" s="273" t="s">
        <v>538</v>
      </c>
      <c r="C11" s="6">
        <v>1.49</v>
      </c>
      <c r="D11" s="6">
        <v>2.08</v>
      </c>
      <c r="E11" s="6">
        <v>0.7</v>
      </c>
      <c r="F11" s="22">
        <f t="shared" si="0"/>
        <v>2.1694399999999998</v>
      </c>
    </row>
    <row r="12" spans="1:7">
      <c r="B12" s="273" t="s">
        <v>539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1:7">
      <c r="B13" s="273" t="s">
        <v>516</v>
      </c>
      <c r="C13" s="22">
        <f>0.74*2.37</f>
        <v>1.7538</v>
      </c>
      <c r="D13" s="6">
        <v>1.1000000000000001</v>
      </c>
      <c r="E13" s="6">
        <v>0.6</v>
      </c>
      <c r="F13" s="22">
        <f t="shared" si="0"/>
        <v>1.157508</v>
      </c>
    </row>
    <row r="14" spans="1:7">
      <c r="B14" s="273" t="s">
        <v>517</v>
      </c>
      <c r="C14" s="22">
        <f>2.5*2.37</f>
        <v>5.9250000000000007</v>
      </c>
      <c r="D14" s="6">
        <v>1.59</v>
      </c>
      <c r="E14" s="6">
        <v>0.6</v>
      </c>
      <c r="F14" s="22">
        <f t="shared" si="0"/>
        <v>5.6524500000000009</v>
      </c>
    </row>
    <row r="15" spans="1:7">
      <c r="B15" s="273" t="s">
        <v>518</v>
      </c>
      <c r="C15" s="22">
        <f>3.4*2.45</f>
        <v>8.33</v>
      </c>
      <c r="D15" s="6">
        <v>1.92</v>
      </c>
      <c r="E15" s="6">
        <v>0.6</v>
      </c>
      <c r="F15" s="22">
        <f t="shared" si="0"/>
        <v>9.5961599999999994</v>
      </c>
    </row>
    <row r="16" spans="1:7">
      <c r="E16" s="8" t="s">
        <v>7</v>
      </c>
      <c r="F16" s="9">
        <f>SUM(F8:F15)</f>
        <v>22.720579999999998</v>
      </c>
    </row>
    <row r="18" spans="2:6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>
      <c r="B20" s="273" t="s">
        <v>519</v>
      </c>
      <c r="C20" s="6">
        <v>5.03</v>
      </c>
      <c r="D20" s="6">
        <v>0.86</v>
      </c>
      <c r="E20" s="6">
        <v>0.7</v>
      </c>
      <c r="F20" s="22">
        <f>C20*D20*E20</f>
        <v>3.02806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B22" s="6"/>
      <c r="C22" s="6"/>
      <c r="D22" s="6"/>
      <c r="E22" s="6"/>
      <c r="F22" s="22">
        <f>C22*D22*E22</f>
        <v>0</v>
      </c>
    </row>
    <row r="23" spans="2:6">
      <c r="E23" s="8" t="s">
        <v>7</v>
      </c>
      <c r="F23" s="9">
        <f>SUM(F20:F22)</f>
        <v>3.02806</v>
      </c>
    </row>
    <row r="25" spans="2:6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>
      <c r="B27" s="273" t="s">
        <v>520</v>
      </c>
      <c r="C27" s="6">
        <v>20.03</v>
      </c>
      <c r="D27" s="6">
        <v>1.06</v>
      </c>
      <c r="E27" s="6">
        <v>0.8</v>
      </c>
      <c r="F27" s="22">
        <f>C27*D27*E27</f>
        <v>16.985440000000004</v>
      </c>
    </row>
    <row r="28" spans="2:6">
      <c r="B28" s="273" t="s">
        <v>521</v>
      </c>
      <c r="C28" s="6">
        <v>19.89</v>
      </c>
      <c r="D28" s="6">
        <v>1.9</v>
      </c>
      <c r="E28" s="6">
        <v>1</v>
      </c>
      <c r="F28" s="22">
        <f>C28*D28*E28</f>
        <v>37.790999999999997</v>
      </c>
    </row>
    <row r="29" spans="2:6">
      <c r="B29" s="6"/>
      <c r="C29" s="6"/>
      <c r="D29" s="6"/>
      <c r="E29" s="6"/>
      <c r="F29" s="22">
        <f>C29*D29*E29</f>
        <v>0</v>
      </c>
    </row>
    <row r="30" spans="2:6">
      <c r="E30" s="8" t="s">
        <v>7</v>
      </c>
      <c r="F30" s="9">
        <f>SUM(F27:F29)</f>
        <v>54.776440000000001</v>
      </c>
    </row>
    <row r="32" spans="2:6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B36" s="6"/>
      <c r="C36" s="6"/>
      <c r="D36" s="6"/>
      <c r="E36" s="6"/>
      <c r="F36" s="22">
        <f>C36*D36*E36</f>
        <v>0</v>
      </c>
    </row>
    <row r="37" spans="2:6">
      <c r="E37" s="8" t="s">
        <v>7</v>
      </c>
      <c r="F37" s="9">
        <f>SUM(F34:F36)</f>
        <v>0</v>
      </c>
    </row>
    <row r="39" spans="2:6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6"/>
      <c r="C46" s="6"/>
      <c r="D46" s="6"/>
      <c r="E46" s="6"/>
      <c r="F46" s="22">
        <f>C46*D46*E46</f>
        <v>0</v>
      </c>
    </row>
    <row r="47" spans="2:6">
      <c r="B47" s="12"/>
      <c r="E47" s="13" t="s">
        <v>7</v>
      </c>
      <c r="F47" s="14">
        <f>SUM(F42:F46)</f>
        <v>0</v>
      </c>
    </row>
    <row r="48" spans="2:6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80.525080000000003</v>
      </c>
    </row>
    <row r="51" spans="2:6">
      <c r="B51" s="12"/>
    </row>
    <row r="52" spans="2:6">
      <c r="B52" s="25" t="s">
        <v>51</v>
      </c>
      <c r="C52" s="25"/>
      <c r="D52" s="25"/>
      <c r="E52" s="25"/>
      <c r="F52" s="26"/>
    </row>
    <row r="53" spans="2:6">
      <c r="B53" s="27" t="s">
        <v>52</v>
      </c>
      <c r="C53" s="27"/>
      <c r="D53" s="27"/>
      <c r="E53" s="26"/>
      <c r="F53" s="26"/>
    </row>
    <row r="54" spans="2:6">
      <c r="B54" s="28" t="s">
        <v>53</v>
      </c>
      <c r="C54" s="28"/>
      <c r="D54" s="28"/>
      <c r="E54" s="26"/>
      <c r="F54" s="26"/>
    </row>
    <row r="55" spans="2:6">
      <c r="B55" s="27" t="s">
        <v>54</v>
      </c>
      <c r="C55" s="27"/>
      <c r="D55" s="28"/>
      <c r="E55" s="26"/>
      <c r="F55" s="26"/>
    </row>
    <row r="56" spans="2:6">
      <c r="B56" s="28" t="s">
        <v>55</v>
      </c>
      <c r="C56" s="28"/>
      <c r="D56" s="28"/>
      <c r="E56" s="26"/>
      <c r="F56" s="26"/>
    </row>
    <row r="57" spans="2:6">
      <c r="B57" s="29"/>
      <c r="C57" s="29"/>
      <c r="D57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10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9" sqref="D29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273" t="s">
        <v>522</v>
      </c>
      <c r="C9" s="6">
        <v>0.83</v>
      </c>
      <c r="D9" s="6">
        <v>4.3</v>
      </c>
      <c r="E9" s="7">
        <f t="shared" ref="E9:E21" si="0">C9*D9</f>
        <v>3.5689999999999995</v>
      </c>
    </row>
    <row r="10" spans="1:6">
      <c r="B10" s="273" t="s">
        <v>523</v>
      </c>
      <c r="C10" s="6">
        <v>0.16</v>
      </c>
      <c r="D10" s="6">
        <v>4.3</v>
      </c>
      <c r="E10" s="7">
        <f t="shared" si="0"/>
        <v>0.68799999999999994</v>
      </c>
    </row>
    <row r="11" spans="1:6">
      <c r="B11" s="273" t="s">
        <v>524</v>
      </c>
      <c r="C11" s="6">
        <v>0.09</v>
      </c>
      <c r="D11" s="6">
        <v>4.3</v>
      </c>
      <c r="E11" s="7">
        <f t="shared" si="0"/>
        <v>0.38699999999999996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4.6439999999999992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96.207200000000014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273" t="s">
        <v>525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3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96.207200000000014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29.439403200000005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2"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>
      <c r="A4" s="69"/>
      <c r="B4" s="295" t="s">
        <v>119</v>
      </c>
      <c r="C4" s="295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275" t="s">
        <v>527</v>
      </c>
      <c r="C9" s="276" t="s">
        <v>526</v>
      </c>
      <c r="D9" s="6">
        <v>0.83</v>
      </c>
      <c r="E9" s="89">
        <v>0.33</v>
      </c>
      <c r="F9" s="89">
        <v>0.7</v>
      </c>
      <c r="G9" s="89">
        <f>0.8*0.9</f>
        <v>0.72000000000000008</v>
      </c>
      <c r="H9" s="89">
        <v>0.56999999999999995</v>
      </c>
      <c r="I9" s="88">
        <v>0.9</v>
      </c>
      <c r="J9" s="90">
        <f>D9*E9*F9*G9*H9*I9</f>
        <v>7.0817392800000017E-2</v>
      </c>
    </row>
    <row r="10" spans="1:11">
      <c r="B10" s="275" t="s">
        <v>528</v>
      </c>
      <c r="C10" s="276" t="s">
        <v>526</v>
      </c>
      <c r="D10" s="6">
        <v>0.16</v>
      </c>
      <c r="E10" s="89">
        <v>0.33</v>
      </c>
      <c r="F10" s="89">
        <v>0.7</v>
      </c>
      <c r="G10" s="89">
        <f>0.8*0.9</f>
        <v>0.72000000000000008</v>
      </c>
      <c r="H10" s="6">
        <v>0.65</v>
      </c>
      <c r="I10" s="88">
        <v>0.9</v>
      </c>
      <c r="J10" s="90">
        <f t="shared" ref="J10:J18" si="0">D10*E10*F10*G10*H10*I10</f>
        <v>1.5567552000000002E-2</v>
      </c>
    </row>
    <row r="11" spans="1:11">
      <c r="B11" s="275" t="s">
        <v>529</v>
      </c>
      <c r="C11" s="276" t="s">
        <v>526</v>
      </c>
      <c r="D11" s="6">
        <v>0.09</v>
      </c>
      <c r="E11" s="89">
        <v>0.33</v>
      </c>
      <c r="F11" s="89">
        <v>0.7</v>
      </c>
      <c r="G11" s="89">
        <f>0.8*0.9</f>
        <v>0.72000000000000008</v>
      </c>
      <c r="H11" s="6">
        <v>0.65</v>
      </c>
      <c r="I11" s="88">
        <v>0.9</v>
      </c>
      <c r="J11" s="90">
        <f t="shared" si="0"/>
        <v>8.7567480000000017E-3</v>
      </c>
    </row>
    <row r="12" spans="1:11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1:11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1:11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1:11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1:11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2:10" ht="14.25">
      <c r="C20" s="290" t="s">
        <v>144</v>
      </c>
      <c r="D20" s="290"/>
      <c r="E20" s="290"/>
      <c r="F20" s="290"/>
      <c r="G20" s="290"/>
      <c r="H20" s="290"/>
      <c r="J20" s="9">
        <f>SUM(J9:J18)</f>
        <v>9.5141692800000011E-2</v>
      </c>
    </row>
    <row r="21" spans="2:10">
      <c r="C21" s="98"/>
      <c r="D21" s="98"/>
      <c r="E21" s="98"/>
      <c r="F21" s="98"/>
      <c r="G21" s="98"/>
      <c r="H21" s="98"/>
      <c r="J21" s="36" t="s">
        <v>64</v>
      </c>
    </row>
    <row r="22" spans="2:10">
      <c r="C22" s="290" t="s">
        <v>145</v>
      </c>
      <c r="D22" s="290"/>
      <c r="E22" s="290"/>
      <c r="F22" s="290"/>
      <c r="G22" s="290"/>
    </row>
    <row r="23" spans="2:10" ht="13.5">
      <c r="C23" t="s">
        <v>146</v>
      </c>
      <c r="D23" s="273" t="s">
        <v>530</v>
      </c>
      <c r="E23" s="291" t="s">
        <v>147</v>
      </c>
      <c r="F23" s="292"/>
      <c r="G23" s="292"/>
      <c r="H23" s="292"/>
      <c r="J23" s="6">
        <v>108</v>
      </c>
    </row>
    <row r="24" spans="2:10">
      <c r="J24" s="17" t="s">
        <v>64</v>
      </c>
    </row>
    <row r="25" spans="2:10">
      <c r="C25" s="99" t="s">
        <v>148</v>
      </c>
      <c r="D25" s="99"/>
      <c r="E25" s="99"/>
      <c r="F25" s="99"/>
      <c r="H25" t="s">
        <v>149</v>
      </c>
      <c r="J25" s="6">
        <v>5.7</v>
      </c>
    </row>
    <row r="26" spans="2:10">
      <c r="J26" s="100" t="s">
        <v>67</v>
      </c>
    </row>
    <row r="27" spans="2:10">
      <c r="C27" s="290" t="s">
        <v>150</v>
      </c>
      <c r="D27" s="290"/>
      <c r="E27" s="290"/>
      <c r="F27" s="290"/>
      <c r="G27" s="290"/>
      <c r="J27" s="9">
        <f>J20*J23*J25</f>
        <v>58.569226087680008</v>
      </c>
    </row>
    <row r="29" spans="2:10" ht="13.5" thickBot="1">
      <c r="B29" s="293" t="s">
        <v>151</v>
      </c>
      <c r="C29" s="293"/>
    </row>
    <row r="30" spans="2:10" ht="13.5" thickTop="1">
      <c r="C30" s="101"/>
      <c r="D30" s="102"/>
      <c r="E30" s="102"/>
      <c r="F30" s="102"/>
      <c r="G30" s="102"/>
      <c r="H30" s="102"/>
      <c r="I30" s="103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5" t="s">
        <v>154</v>
      </c>
    </row>
    <row r="32" spans="2:10">
      <c r="C32" s="106"/>
      <c r="D32" s="35"/>
      <c r="E32" s="35"/>
      <c r="F32" s="35"/>
      <c r="G32" s="35"/>
      <c r="H32" s="36" t="s">
        <v>64</v>
      </c>
      <c r="I32" s="107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5" t="s">
        <v>149</v>
      </c>
    </row>
    <row r="34" spans="2:14">
      <c r="C34" s="106"/>
      <c r="D34" s="35"/>
      <c r="E34" s="35"/>
      <c r="F34" s="35"/>
      <c r="G34" s="35"/>
      <c r="H34" s="36" t="s">
        <v>64</v>
      </c>
      <c r="I34" s="107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39.92</v>
      </c>
      <c r="I35" s="105" t="s">
        <v>30</v>
      </c>
    </row>
    <row r="36" spans="2:14">
      <c r="C36" s="106"/>
      <c r="D36" s="35"/>
      <c r="E36" s="35"/>
      <c r="F36" s="35"/>
      <c r="G36" s="35"/>
      <c r="H36" s="36" t="s">
        <v>64</v>
      </c>
      <c r="I36" s="107"/>
    </row>
    <row r="37" spans="2:14">
      <c r="C37" s="106"/>
      <c r="D37" s="35"/>
      <c r="E37" s="35"/>
      <c r="F37" s="35"/>
      <c r="G37" s="35"/>
      <c r="H37" s="68">
        <v>0.72</v>
      </c>
      <c r="I37" s="107"/>
    </row>
    <row r="38" spans="2:14">
      <c r="C38" s="106"/>
      <c r="D38" s="35"/>
      <c r="E38" s="35"/>
      <c r="F38" s="35"/>
      <c r="G38" s="35"/>
      <c r="H38" s="38" t="s">
        <v>67</v>
      </c>
      <c r="I38" s="107"/>
    </row>
    <row r="39" spans="2:14">
      <c r="C39" s="283" t="s">
        <v>157</v>
      </c>
      <c r="D39" s="284"/>
      <c r="E39" s="284"/>
      <c r="F39" s="35"/>
      <c r="G39" s="35"/>
      <c r="H39" s="9">
        <f>H31*H33*H35*H37</f>
        <v>655.32672000000002</v>
      </c>
      <c r="I39" s="105" t="s">
        <v>158</v>
      </c>
    </row>
    <row r="40" spans="2:14" ht="13.5" thickBot="1">
      <c r="C40" s="108"/>
      <c r="D40" s="109"/>
      <c r="E40" s="109"/>
      <c r="F40" s="109"/>
      <c r="G40" s="109"/>
      <c r="H40" s="109"/>
      <c r="I40" s="110"/>
    </row>
    <row r="41" spans="2:14" ht="14.25" thickTop="1" thickBot="1"/>
    <row r="42" spans="2:14" ht="13.5" thickTop="1">
      <c r="B42" s="285" t="s">
        <v>159</v>
      </c>
      <c r="C42" s="286"/>
      <c r="D42" s="286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>
      <c r="B44" s="106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713.89594608768004</v>
      </c>
      <c r="J44" s="107"/>
      <c r="L44" s="114" t="s">
        <v>163</v>
      </c>
      <c r="M44" s="117" t="s">
        <v>164</v>
      </c>
      <c r="N44" s="116">
        <f>F47/(F47+1)</f>
        <v>0.72222222222222221</v>
      </c>
    </row>
    <row r="45" spans="2:14">
      <c r="B45" s="106"/>
      <c r="C45" s="287"/>
      <c r="D45" s="289" t="s">
        <v>165</v>
      </c>
      <c r="E45" s="289"/>
      <c r="F45" s="289"/>
      <c r="G45" s="289"/>
      <c r="H45" s="289"/>
      <c r="I45" s="7">
        <f>FCIV.2!I22</f>
        <v>4626.5643995520004</v>
      </c>
      <c r="J45" s="107"/>
      <c r="L45" s="114"/>
      <c r="M45" s="115"/>
      <c r="N45" s="116"/>
    </row>
    <row r="46" spans="2:14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0.99343079125869516</v>
      </c>
    </row>
    <row r="47" spans="2:14" ht="15.75">
      <c r="B47" s="281" t="s">
        <v>167</v>
      </c>
      <c r="C47" s="282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0.15430368723643142</v>
      </c>
      <c r="I47" s="35"/>
      <c r="J47" s="107"/>
      <c r="L47" s="121"/>
      <c r="M47" s="122"/>
      <c r="N47" s="123"/>
    </row>
    <row r="48" spans="2:14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0.99343079125869516</v>
      </c>
      <c r="J49" s="107"/>
      <c r="L49" s="35"/>
      <c r="M49" s="35"/>
      <c r="N49" s="35"/>
    </row>
    <row r="50" spans="2:14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713.89594608768004</v>
      </c>
      <c r="J51" s="107"/>
      <c r="L51" s="35"/>
      <c r="M51" s="35"/>
      <c r="N51" s="35"/>
    </row>
    <row r="52" spans="2:14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4">
      <c r="B53" s="125"/>
      <c r="C53" s="126"/>
      <c r="D53" s="126"/>
      <c r="E53" s="282" t="s">
        <v>171</v>
      </c>
      <c r="F53" s="282"/>
      <c r="G53" s="282"/>
      <c r="H53" s="35"/>
      <c r="I53" s="8">
        <f>I49*I51</f>
        <v>709.20621459825873</v>
      </c>
      <c r="J53" s="107"/>
    </row>
    <row r="54" spans="2:14">
      <c r="B54" s="106"/>
      <c r="C54" s="35"/>
      <c r="D54" s="35"/>
      <c r="E54" s="35"/>
      <c r="F54" s="35"/>
      <c r="G54" s="35"/>
      <c r="H54" s="35"/>
      <c r="I54" s="35"/>
      <c r="J54" s="107"/>
    </row>
    <row r="55" spans="2:14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5:E35"/>
    <mergeCell ref="C39:E39"/>
    <mergeCell ref="C22:G22"/>
    <mergeCell ref="E23:H23"/>
    <mergeCell ref="C27:G27"/>
    <mergeCell ref="B29:C29"/>
    <mergeCell ref="C33:F33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20" sqref="I20"/>
    </sheetView>
  </sheetViews>
  <sheetFormatPr defaultRowHeight="12.75"/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spans="1:11" ht="13.5" thickBot="1"/>
    <row r="6" spans="1:11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4"/>
      <c r="D10" s="35"/>
      <c r="E10" s="35"/>
      <c r="F10" s="35"/>
      <c r="G10" s="35"/>
      <c r="H10" s="35"/>
      <c r="I10" s="6">
        <f>FCIV.1a!C8</f>
        <v>11.8</v>
      </c>
      <c r="J10" s="37"/>
    </row>
    <row r="11" spans="1:11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4"/>
      <c r="D13" s="284"/>
      <c r="E13" s="35"/>
      <c r="F13" s="35"/>
      <c r="G13" s="35"/>
      <c r="H13" s="35"/>
      <c r="I13" s="6">
        <f>SUM(FCIV.1c!C9:C11)</f>
        <v>1.08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4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(FCIV.1b!C8*FCIV.1b!E8)+(FCIV.1b!C9*FCIV.1b!E9)+(FCIV.1b!C10*FCIV.1b!E10)+(FCIV.1b!C11*FCIV.1b!E11)+(FCIV.1b!C13*FCIV.1b!E13)+(FCIV.1b!C14*FCIV.1b!E14)+(FCIV.1b!C15*FCIV.1b!E15)</f>
        <v>12.758430000000001</v>
      </c>
      <c r="J17" s="37"/>
    </row>
    <row r="18" spans="2:11">
      <c r="B18" s="297" t="s">
        <v>531</v>
      </c>
      <c r="C18" s="284"/>
      <c r="D18" s="284"/>
      <c r="E18" s="35"/>
      <c r="F18" s="35"/>
      <c r="G18" s="35"/>
      <c r="H18" s="35"/>
      <c r="I18" s="6">
        <f>(FCIV.1b!C27*FCIV.1b!E27)+(FCIV.1b!C28*FCIV.1b!E28)</f>
        <v>35.914000000000001</v>
      </c>
      <c r="J18" s="37"/>
    </row>
    <row r="19" spans="2:11">
      <c r="B19" s="296" t="s">
        <v>186</v>
      </c>
      <c r="C19" s="284"/>
      <c r="D19" s="284"/>
      <c r="E19" s="35"/>
      <c r="F19" s="35"/>
      <c r="G19" s="35"/>
      <c r="H19" s="35"/>
      <c r="I19" s="6">
        <f>FCIV.1b!C20*FCIV.1b!E20</f>
        <v>3.5209999999999999</v>
      </c>
      <c r="J19" s="37"/>
    </row>
    <row r="20" spans="2:11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4"/>
      <c r="D24" s="35"/>
      <c r="E24" s="35"/>
      <c r="F24" s="35"/>
      <c r="G24" s="35"/>
      <c r="H24" s="35"/>
      <c r="I24" s="9">
        <f>FCIV.1d!G9</f>
        <v>96.207200000000014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0.67638835762811922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0">
        <f>4.5+0.0395*I30</f>
        <v>59.405000000000001</v>
      </c>
    </row>
    <row r="34" spans="2:10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0">
        <f>4.5+(0.021+0.037*I26)*I30</f>
        <v>68.476653232814172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0"/>
    </row>
    <row r="36" spans="2:10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0">
        <f>(4.5+(0.021+0.037*I26)*I30)*(1.2-0.2*I26)</f>
        <v>72.90862167617432</v>
      </c>
    </row>
    <row r="37" spans="2:10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0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10">
      <c r="B41" s="132" t="s">
        <v>202</v>
      </c>
      <c r="C41" s="126"/>
      <c r="D41" s="126"/>
      <c r="I41" s="8">
        <f>IF(I26&lt;0.5,J33,IF(I26&lt;1,J34,IF(I26&lt;1.5,J36,J37)))</f>
        <v>68.476653232814172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30" sqref="I30:J30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/>
    <row r="5" spans="1:11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1:11">
      <c r="B6" s="316"/>
      <c r="C6" s="317"/>
      <c r="D6" s="317"/>
      <c r="E6" s="317"/>
      <c r="F6" s="317"/>
      <c r="G6" s="318"/>
      <c r="H6" s="319"/>
      <c r="I6" s="320"/>
      <c r="J6" s="321"/>
    </row>
    <row r="7" spans="1:11">
      <c r="B7" s="296" t="s">
        <v>206</v>
      </c>
      <c r="C7" s="284"/>
      <c r="D7" s="284"/>
      <c r="E7" s="284"/>
      <c r="F7" s="284"/>
      <c r="G7" s="310"/>
      <c r="H7" s="313">
        <f>FCIV.1a!E52</f>
        <v>24.077500000000001</v>
      </c>
      <c r="I7" s="282"/>
      <c r="J7" s="312"/>
    </row>
    <row r="8" spans="1:11">
      <c r="B8" s="296"/>
      <c r="C8" s="284"/>
      <c r="D8" s="284"/>
      <c r="E8" s="284"/>
      <c r="F8" s="284"/>
      <c r="G8" s="310"/>
      <c r="H8" s="311"/>
      <c r="I8" s="282"/>
      <c r="J8" s="312"/>
    </row>
    <row r="9" spans="1:11">
      <c r="B9" s="296" t="s">
        <v>207</v>
      </c>
      <c r="C9" s="284"/>
      <c r="D9" s="284"/>
      <c r="E9" s="284"/>
      <c r="F9" s="284"/>
      <c r="G9" s="310"/>
      <c r="H9" s="313">
        <f>FCIV.1b!F50</f>
        <v>80.525080000000003</v>
      </c>
      <c r="I9" s="282"/>
      <c r="J9" s="312"/>
    </row>
    <row r="10" spans="1:11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1:11">
      <c r="B11" s="296" t="s">
        <v>208</v>
      </c>
      <c r="C11" s="284"/>
      <c r="D11" s="284"/>
      <c r="E11" s="284"/>
      <c r="F11" s="284"/>
      <c r="G11" s="310"/>
      <c r="H11" s="313">
        <f>FCIV.1c!E22</f>
        <v>4.6439999999999992</v>
      </c>
      <c r="I11" s="282"/>
      <c r="J11" s="312"/>
    </row>
    <row r="12" spans="1:11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1:11">
      <c r="B13" s="296" t="s">
        <v>209</v>
      </c>
      <c r="C13" s="284"/>
      <c r="D13" s="284"/>
      <c r="E13" s="284"/>
      <c r="F13" s="284"/>
      <c r="G13" s="310"/>
      <c r="H13" s="313">
        <f>FCIV.1d!G60</f>
        <v>29.439403200000005</v>
      </c>
      <c r="I13" s="314"/>
      <c r="J13" s="315"/>
    </row>
    <row r="14" spans="1:11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1:11" ht="13.5" thickBot="1">
      <c r="I15" s="309" t="s">
        <v>67</v>
      </c>
      <c r="J15" s="307"/>
    </row>
    <row r="16" spans="1:11" ht="13.5" thickBot="1">
      <c r="B16" t="s">
        <v>210</v>
      </c>
      <c r="I16" s="304">
        <f>SUM(H7,H9,H11,H13)</f>
        <v>138.68598320000001</v>
      </c>
      <c r="J16" s="305"/>
    </row>
    <row r="17" spans="2:10" ht="13.5" thickBot="1">
      <c r="I17" s="301" t="s">
        <v>64</v>
      </c>
      <c r="J17" s="301"/>
    </row>
    <row r="18" spans="2:10" ht="13.5" thickBot="1">
      <c r="B18" t="s">
        <v>211</v>
      </c>
      <c r="I18" s="304">
        <f>FCIV.1f!I30</f>
        <v>1390</v>
      </c>
      <c r="J18" s="305"/>
    </row>
    <row r="19" spans="2:10" ht="13.5" thickBot="1">
      <c r="I19" s="301" t="s">
        <v>64</v>
      </c>
      <c r="J19" s="301"/>
    </row>
    <row r="20" spans="2:10" ht="13.5" thickBot="1">
      <c r="I20" s="302">
        <v>2.4E-2</v>
      </c>
      <c r="J20" s="303"/>
    </row>
    <row r="21" spans="2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I16*I18*I20+FCIV.1d!G50</f>
        <v>4626.5643995520004</v>
      </c>
      <c r="J22" s="305"/>
    </row>
    <row r="23" spans="2:10" ht="13.5" thickBot="1">
      <c r="I23" s="300" t="s">
        <v>213</v>
      </c>
      <c r="J23" s="301"/>
    </row>
    <row r="24" spans="2:10" ht="13.5" thickBot="1">
      <c r="B24" t="s">
        <v>214</v>
      </c>
      <c r="I24" s="304">
        <f>FCIV.1e!I53</f>
        <v>709.20621459825873</v>
      </c>
      <c r="J24" s="305"/>
    </row>
    <row r="25" spans="2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3917.3581849537418</v>
      </c>
      <c r="J26" s="305"/>
    </row>
    <row r="27" spans="2:10" ht="13.5" thickBot="1">
      <c r="I27" s="301" t="s">
        <v>100</v>
      </c>
      <c r="J27" s="301"/>
    </row>
    <row r="28" spans="2:10" ht="13.5" thickBot="1">
      <c r="B28" t="s">
        <v>216</v>
      </c>
      <c r="I28" s="304">
        <f>FCIV.1d!G5</f>
        <v>39.92</v>
      </c>
      <c r="J28" s="305"/>
    </row>
    <row r="29" spans="2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98.130215053951446</v>
      </c>
      <c r="J30" s="303"/>
    </row>
    <row r="31" spans="2:10" ht="13.5" thickBot="1">
      <c r="I31" s="301" t="s">
        <v>300</v>
      </c>
      <c r="J31" s="301"/>
    </row>
    <row r="32" spans="2:10" ht="13.5" thickBot="1">
      <c r="B32" t="s">
        <v>218</v>
      </c>
      <c r="I32" s="304">
        <f>FCIV.1f!I41</f>
        <v>68.476653232814172</v>
      </c>
      <c r="J32" s="305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5" t="s">
        <v>219</v>
      </c>
      <c r="I36" s="136">
        <f>I30/I32</f>
        <v>1.4330463073351141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13" workbookViewId="0">
      <selection activeCell="F39" sqref="F39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7"/>
      <c r="C6" s="63"/>
      <c r="D6" s="63"/>
      <c r="E6" s="63"/>
      <c r="F6" s="63"/>
      <c r="G6" s="63"/>
      <c r="H6" s="63"/>
      <c r="I6" s="138"/>
      <c r="J6" s="139"/>
    </row>
    <row r="7" spans="1:11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15.104000000000001</v>
      </c>
      <c r="J7" s="77" t="s">
        <v>6</v>
      </c>
    </row>
    <row r="8" spans="1:11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1:11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1:11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1:11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4.6439999999999992</v>
      </c>
      <c r="J13" s="77" t="s">
        <v>6</v>
      </c>
    </row>
    <row r="14" spans="1:11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1:11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29.439403200000005</v>
      </c>
      <c r="J15" s="77" t="s">
        <v>6</v>
      </c>
    </row>
    <row r="16" spans="1:11">
      <c r="B16" s="140"/>
      <c r="C16" s="35"/>
      <c r="D16" s="35"/>
      <c r="E16" s="35"/>
      <c r="F16" s="35"/>
      <c r="G16" s="35"/>
      <c r="H16" s="35"/>
      <c r="I16" s="143"/>
      <c r="J16" s="77"/>
    </row>
    <row r="17" spans="2:10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>
      <c r="B18" s="140"/>
      <c r="C18" s="35"/>
      <c r="D18" s="35"/>
      <c r="E18" s="35"/>
      <c r="F18" s="35"/>
      <c r="G18" s="35"/>
      <c r="H18" s="35"/>
      <c r="I18" s="143"/>
      <c r="J18" s="142"/>
    </row>
    <row r="19" spans="2:10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49.187403200000006</v>
      </c>
      <c r="J19" s="77" t="s">
        <v>6</v>
      </c>
    </row>
    <row r="20" spans="2:10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7"/>
      <c r="C24" s="63"/>
      <c r="D24" s="63"/>
      <c r="E24" s="63"/>
      <c r="F24" s="63"/>
      <c r="G24" s="63"/>
      <c r="H24" s="63"/>
      <c r="I24" s="63"/>
      <c r="J24" s="139"/>
    </row>
    <row r="25" spans="2:10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49.187403200000006</v>
      </c>
      <c r="J31" s="148" t="s">
        <v>6</v>
      </c>
    </row>
    <row r="32" spans="2:10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1:10">
      <c r="B33" s="140"/>
      <c r="C33" s="35"/>
      <c r="D33" s="35"/>
      <c r="E33" s="35"/>
      <c r="F33" s="35"/>
      <c r="G33" s="35"/>
      <c r="H33" s="35"/>
      <c r="I33" s="36">
        <v>2.9279999999999999</v>
      </c>
      <c r="J33" s="142"/>
    </row>
    <row r="34" spans="1:10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1:10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288.04143313920002</v>
      </c>
      <c r="J35" s="77" t="s">
        <v>240</v>
      </c>
    </row>
    <row r="36" spans="1:10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G22" sqref="G22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8" t="s">
        <v>243</v>
      </c>
      <c r="C5" s="17"/>
      <c r="D5" s="17"/>
      <c r="E5" s="17"/>
      <c r="F5" s="17"/>
    </row>
    <row r="6" spans="1:6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7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273" t="s">
        <v>527</v>
      </c>
      <c r="C18" s="6">
        <v>0.83</v>
      </c>
      <c r="D18" s="6">
        <v>4.3</v>
      </c>
      <c r="E18" s="22">
        <f t="shared" ref="E18:E29" si="0">C18*D18</f>
        <v>3.5689999999999995</v>
      </c>
    </row>
    <row r="19" spans="2:5">
      <c r="B19" s="273" t="s">
        <v>528</v>
      </c>
      <c r="C19" s="6">
        <v>0.16</v>
      </c>
      <c r="D19" s="6">
        <v>4.3</v>
      </c>
      <c r="E19" s="22">
        <f t="shared" si="0"/>
        <v>0.68799999999999994</v>
      </c>
    </row>
    <row r="20" spans="2:5">
      <c r="B20" s="273" t="s">
        <v>529</v>
      </c>
      <c r="C20" s="6">
        <v>0.09</v>
      </c>
      <c r="D20" s="6">
        <v>4.3</v>
      </c>
      <c r="E20" s="22">
        <f t="shared" si="0"/>
        <v>0.38699999999999996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4.6439999999999992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2011-05-30T22:20:36Z</dcterms:modified>
</cp:coreProperties>
</file>