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46" activeTab="1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<sst xmlns="http://schemas.openxmlformats.org/spreadsheetml/2006/main" count="896" uniqueCount="529">
  <si>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</si>
  <si>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</si>
  <si>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</si>
  <si>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</si>
  <si>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</si>
  <si>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</si>
  <si>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</si>
  <si>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</si>
  <si>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</si>
  <si>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</si>
  <si>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</si>
  <si>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</si>
  <si>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</si>
  <si>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</si>
  <si>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</si>
  <si>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</si>
  <si>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</si>
  <si>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</si>
  <si>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</si>
  <si>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</si>
  <si>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</si>
  <si>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</si>
  <si>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</si>
  <si>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</si>
  <si>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</si>
  <si>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</si>
  <si>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</si>
  <si>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</si>
  <si>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</si>
  <si>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</si>
  <si>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</si>
  <si>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</si>
  <si>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</si>
  <si>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</si>
  <si>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</si>
  <si>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</si>
  <si>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</si>
  <si>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</si>
  <si>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</si>
  <si>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</si>
  <si>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</si>
  <si>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</si>
  <si>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</si>
  <si>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</si>
  <si>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</si>
  <si>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</si>
  <si>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</si>
  <si>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</si>
  <si>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</si>
  <si>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</si>
  <si>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</si>
  <si>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</si>
  <si>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</si>
  <si>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</si>
  <si>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</si>
  <si>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</si>
  <si>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</si>
  <si>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</si>
  <si>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</si>
  <si>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</si>
  <si>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</si>
  <si>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</si>
  <si>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</si>
  <si>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</si>
  <si>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</si>
  <si>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</si>
  <si>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</si>
  <si>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</si>
  <si>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</si>
  <si>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</si>
  <si>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</si>
  <si>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</si>
  <si>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</si>
  <si>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</si>
  <si>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</si>
  <si>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</si>
  <si>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</si>
  <si>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</si>
  <si>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</si>
  <si>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</si>
  <si>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</si>
  <si>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</si>
  <si>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</si>
  <si>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</si>
  <si>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</si>
  <si>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</si>
  <si>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</si>
  <si>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</si>
  <si>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</si>
  <si>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</si>
  <si>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</si>
  <si>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</si>
  <si>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</si>
  <si>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</si>
  <si>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</si>
  <si>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</si>
  <si>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</si>
  <si>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</si>
  <si>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</si>
  <si>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</si>
  <si>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</si>
  <si>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</si>
  <si>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</si>
  <si>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</si>
  <si>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</si>
  <si>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</si>
  <si>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</si>
  <si>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</si>
  <si>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</si>
  <si>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</si>
  <si>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</si>
  <si>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</si>
  <si>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</si>
  <si>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</si>
  <si>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</si>
  <si>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</si>
  <si>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</si>
  <si>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</si>
  <si>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</si>
  <si>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</si>
  <si>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</si>
  <si>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</si>
  <si>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</si>
  <si>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</si>
  <si>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</si>
  <si>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</si>
  <si>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</si>
  <si>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</si>
  <si>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</si>
  <si>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</si>
  <si>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</si>
  <si>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</si>
  <si>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</si>
  <si>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</si>
  <si>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</si>
  <si>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</si>
  <si>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</si>
  <si>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</si>
  <si>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</si>
  <si>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</si>
  <si>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</si>
  <si>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</si>
  <si>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</si>
  <si>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</si>
  <si>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</si>
  <si>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</si>
  <si>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</si>
  <si>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</si>
  <si>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</si>
  <si>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</si>
  <si>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</si>
  <si>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</si>
  <si>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</si>
  <si>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</si>
  <si>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</si>
  <si>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</si>
  <si>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</si>
  <si>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</si>
  <si>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</si>
  <si>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</si>
  <si>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</si>
  <si>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</si>
  <si>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</si>
  <si>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</si>
  <si>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</si>
  <si>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</si>
  <si>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</si>
  <si>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</si>
  <si>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</si>
  <si>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</si>
  <si>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</si>
  <si>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</si>
  <si>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</si>
  <si>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</si>
  <si>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</si>
  <si>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</si>
  <si>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</si>
  <si>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</si>
  <si>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</si>
  <si>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</si>
  <si>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</si>
  <si>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</si>
  <si>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</si>
  <si>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</si>
  <si>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</si>
  <si>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</si>
  <si>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</si>
  <si>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</si>
  <si>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</si>
  <si>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</si>
  <si>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</si>
  <si>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</si>
  <si>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</si>
  <si>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</si>
  <si>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</si>
  <si>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</si>
  <si>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</si>
  <si>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</si>
  <si>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</si>
  <si>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</si>
  <si>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</si>
  <si>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</si>
  <si>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</si>
  <si>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</si>
  <si>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</si>
  <si>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</si>
  <si>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</si>
  <si>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</si>
  <si>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</si>
  <si>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</si>
  <si>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</si>
  <si>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</si>
  <si>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</si>
  <si>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</si>
  <si>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</si>
  <si>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</si>
  <si>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</si>
  <si>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</si>
  <si>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</si>
  <si>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</si>
  <si>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</si>
  <si>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</si>
  <si>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</si>
  <si>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</si>
  <si>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</si>
  <si>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</si>
  <si>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</si>
  <si>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</si>
  <si>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</si>
  <si>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</si>
  <si>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</si>
  <si>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</si>
  <si>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</si>
  <si>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</si>
  <si>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</si>
  <si>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</si>
  <si>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</si>
  <si>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</si>
  <si>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</si>
  <si>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</si>
  <si>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</si>
  <si>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</si>
  <si>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</si>
  <si>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</si>
  <si>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</si>
  <si>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</si>
  <si>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</si>
  <si>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</si>
  <si>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</si>
  <si>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</si>
  <si>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</si>
  <si>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</si>
  <si>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</si>
  <si>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</si>
  <si>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</si>
  <si>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</si>
  <si>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</si>
  <si>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</si>
  <si>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</si>
  <si>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</si>
  <si>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</si>
  <si>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</si>
  <si>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</si>
  <si>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</si>
  <si>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</si>
  <si>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</si>
  <si>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</si>
  <si>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</si>
  <si>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</si>
  <si>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</si>
  <si>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</si>
  <si>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</si>
  <si>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</si>
  <si>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</si>
  <si>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</si>
  <si>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</si>
  <si>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</si>
  <si>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</si>
  <si>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</si>
  <si>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</si>
  <si>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</si>
  <si>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</si>
  <si>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</si>
  <si>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</si>
  <si>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</si>
  <si>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</si>
  <si>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</si>
  <si>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</si>
  <si>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</si>
  <si>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</si>
  <si>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</si>
  <si>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</si>
  <si>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</si>
  <si>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</si>
  <si>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</si>
  <si>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</si>
  <si>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</si>
  <si>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</si>
  <si>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</si>
  <si>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</si>
  <si>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</si>
  <si>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</si>
  <si>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</si>
  <si>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</si>
  <si>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</si>
  <si>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</si>
  <si>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</si>
  <si>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</si>
  <si>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</si>
  <si>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</si>
  <si>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</si>
  <si>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</si>
  <si>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</si>
  <si>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</si>
  <si>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</si>
  <si>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</si>
  <si>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</si>
  <si>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</si>
  <si>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</si>
  <si>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</si>
  <si>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</si>
  <si>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</si>
  <si>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</si>
  <si>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</si>
  <si>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</si>
  <si>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</si>
  <si>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</si>
  <si>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</si>
  <si>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</si>
  <si>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</si>
  <si>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</si>
  <si>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</si>
  <si>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</si>
  <si>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</si>
  <si>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</si>
  <si>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</si>
  <si>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</si>
  <si>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</si>
  <si>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</si>
  <si>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</si>
  <si>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</si>
  <si>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</si>
  <si>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</si>
  <si>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</si>
  <si>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</si>
  <si>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</si>
  <si>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</si>
  <si>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</si>
  <si>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</si>
  <si>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</si>
  <si>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</si>
  <si>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</si>
  <si>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</si>
  <si>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</si>
  <si>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</si>
  <si>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</si>
  <si>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</si>
  <si>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</si>
  <si>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</si>
  <si>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</si>
  <si>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</si>
  <si>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</si>
  <si>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</si>
  <si>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</si>
  <si>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</si>
  <si>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</si>
  <si>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</si>
  <si>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</si>
  <si>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</si>
  <si>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</si>
  <si>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</si>
  <si>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</si>
  <si>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</si>
  <si>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</si>
  <si>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</si>
  <si>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</si>
  <si>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</si>
  <si>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</si>
  <si>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</si>
  <si>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</si>
  <si>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</si>
  <si>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</si>
  <si>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</si>
  <si>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</si>
  <si>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</si>
  <si>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</si>
  <si>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</si>
  <si>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</si>
  <si>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</si>
  <si>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</si>
  <si>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</si>
  <si>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</si>
  <si>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</si>
  <si>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</si>
  <si>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</si>
  <si>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</si>
  <si>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</si>
  <si>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</si>
  <si>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</si>
  <si>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</si>
  <si>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</si>
  <si>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</si>
  <si>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</si>
  <si>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</si>
  <si>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</si>
  <si>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</si>
  <si>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</si>
  <si>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</si>
  <si>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</si>
  <si>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</si>
  <si>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</si>
  <si>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</si>
  <si>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</si>
  <si>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</si>
  <si>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</si>
  <si>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</si>
  <si>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</si>
  <si>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</si>
  <si>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</si>
  <si>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</si>
  <si>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</si>
  <si>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</si>
  <si>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</si>
  <si>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</si>
  <si>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</si>
  <si>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</si>
  <si>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</si>
  <si>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</si>
  <si>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</si>
  <si>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</si>
  <si>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</si>
  <si>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</si>
  <si>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</si>
  <si>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</si>
  <si>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</si>
  <si>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</si>
  <si>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</si>
  <si>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</si>
  <si>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</si>
  <si>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</si>
  <si>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</si>
  <si>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</si>
  <si>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</si>
  <si>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</si>
  <si>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</si>
  <si>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</si>
  <si>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</si>
  <si>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</si>
  <si>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</si>
  <si>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</si>
  <si>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</si>
  <si>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</si>
  <si>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</si>
  <si>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</si>
  <si>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</si>
  <si>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</si>
  <si>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</si>
  <si>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</si>
  <si>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</si>
  <si>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</si>
  <si>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</si>
  <si>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</si>
  <si>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</si>
  <si>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</si>
  <si>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</si>
  <si>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</si>
  <si>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</si>
  <si>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</si>
  <si>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</si>
  <si>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</si>
  <si>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</si>
  <si>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</si>
  <si>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</si>
  <si>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</si>
  <si>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</si>
  <si>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</si>
  <si>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</si>
  <si>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</si>
  <si>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</si>
  <si>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</si>
  <si>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</si>
  <si>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</si>
  <si>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</si>
  <si>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</si>
  <si>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</si>
  <si>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</si>
  <si>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</si>
  <si>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</si>
  <si>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</si>
  <si>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</si>
  <si>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</si>
  <si>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</si>
  <si>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</si>
  <si>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</si>
  <si>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</si>
  <si>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</si>
  <si>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</si>
  <si>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</si>
  <si>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</si>
  <si>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</si>
  <si>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</si>
  <si>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</si>
  <si>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</si>
  <si>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</si>
  <si>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</si>
  <si>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</si>
  <si>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</si>
  <si>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</si>
  <si>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</si>
  <si>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</si>
  <si>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</si>
  <si>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</si>
  <si>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(esp.0,45m)</t>
  </si>
  <si>
    <t>Parede Fachada SW (esp.0,42m)</t>
  </si>
  <si>
    <t>Parede Fachada S (esp.0,39m)</t>
  </si>
  <si>
    <t>Parede c/ edificio adjacente (esp.0,15m)</t>
  </si>
  <si>
    <t>Parede c/ edificio adjacente (esp.0,20m)</t>
  </si>
  <si>
    <t>Esteira em contacto com o sotão</t>
  </si>
  <si>
    <t>Esteira em contacto com o desvão</t>
  </si>
  <si>
    <t>Vão NE 1</t>
  </si>
  <si>
    <t>Vão NE 2</t>
  </si>
  <si>
    <t>Vão SW</t>
  </si>
  <si>
    <t>s/c</t>
  </si>
  <si>
    <t>NE 1</t>
  </si>
  <si>
    <t>NE 2</t>
  </si>
  <si>
    <t>Simples</t>
  </si>
  <si>
    <t>I1</t>
  </si>
  <si>
    <t>Coberturas interiores</t>
  </si>
  <si>
    <t>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</si>
</sst>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  <numFmt numFmtId="182" formatCode="#,##0.00\ _€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2" xfId="0" applyNumberFormat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14" fillId="0" borderId="54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59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59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59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8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3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59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4" fontId="0" fillId="33" borderId="14" xfId="0" applyNumberForma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5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5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8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9">
      <selection activeCell="D44" sqref="D44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7" t="s">
        <v>0</v>
      </c>
      <c r="B1" s="277"/>
      <c r="C1" s="277"/>
      <c r="D1" s="277"/>
      <c r="E1" s="277"/>
      <c r="F1" s="277"/>
    </row>
    <row r="2" spans="1:6" ht="12.75">
      <c r="A2" s="277" t="s">
        <v>1</v>
      </c>
      <c r="B2" s="277"/>
      <c r="C2" s="277"/>
      <c r="D2" s="277"/>
      <c r="E2" s="277"/>
      <c r="F2" s="277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11.1</v>
      </c>
      <c r="D8" s="6">
        <v>1.33</v>
      </c>
      <c r="E8" s="7">
        <f aca="true" t="shared" si="0" ref="E8:E14">C8*D8</f>
        <v>14.763</v>
      </c>
    </row>
    <row r="9" spans="2:5" ht="12.75">
      <c r="B9" s="6" t="s">
        <v>513</v>
      </c>
      <c r="C9" s="6">
        <v>6.19</v>
      </c>
      <c r="D9" s="6">
        <v>1.41</v>
      </c>
      <c r="E9" s="7">
        <f t="shared" si="0"/>
        <v>8.7279</v>
      </c>
    </row>
    <row r="10" spans="2:5" ht="12.75">
      <c r="B10" s="6" t="s">
        <v>514</v>
      </c>
      <c r="C10" s="6">
        <v>1.59</v>
      </c>
      <c r="D10" s="6">
        <v>1.49</v>
      </c>
      <c r="E10" s="7">
        <f t="shared" si="0"/>
        <v>2.3691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25.86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1"/>
      <c r="D40" s="271"/>
      <c r="E40" s="7">
        <f aca="true" t="shared" si="1" ref="E40:E48">C40*D40</f>
        <v>0</v>
      </c>
    </row>
    <row r="41" spans="2:5" ht="12.75">
      <c r="B41" s="8" t="s">
        <v>511</v>
      </c>
      <c r="C41" s="271"/>
      <c r="D41" s="271"/>
      <c r="E41" s="7">
        <f t="shared" si="1"/>
        <v>0</v>
      </c>
    </row>
    <row r="42" spans="2:5" ht="12.75">
      <c r="B42" s="8" t="s">
        <v>21</v>
      </c>
      <c r="C42" s="6">
        <v>7.1</v>
      </c>
      <c r="D42" s="6">
        <v>0.55</v>
      </c>
      <c r="E42" s="7">
        <f t="shared" si="1"/>
        <v>3.9050000000000002</v>
      </c>
    </row>
    <row r="43" spans="2:5" ht="12.75">
      <c r="B43" s="8" t="s">
        <v>22</v>
      </c>
      <c r="C43" s="6">
        <v>7.1</v>
      </c>
      <c r="D43" s="6">
        <v>0.9</v>
      </c>
      <c r="E43" s="7">
        <f t="shared" si="1"/>
        <v>6.39</v>
      </c>
    </row>
    <row r="44" spans="2:5" ht="12.75">
      <c r="B44" s="8" t="s">
        <v>23</v>
      </c>
      <c r="C44" s="271"/>
      <c r="D44" s="271"/>
      <c r="E44" s="7">
        <f t="shared" si="1"/>
        <v>0</v>
      </c>
    </row>
    <row r="45" spans="2:5" ht="12.75">
      <c r="B45" s="8" t="s">
        <v>24</v>
      </c>
      <c r="C45" s="6">
        <v>2.63</v>
      </c>
      <c r="D45" s="6">
        <v>0.25</v>
      </c>
      <c r="E45" s="7">
        <f t="shared" si="1"/>
        <v>0.6575</v>
      </c>
    </row>
    <row r="46" spans="2:5" ht="12.75">
      <c r="B46" s="8" t="s">
        <v>25</v>
      </c>
      <c r="C46" s="271"/>
      <c r="D46" s="271"/>
      <c r="E46" s="7">
        <f t="shared" si="1"/>
        <v>0</v>
      </c>
    </row>
    <row r="47" spans="2:5" ht="12.75">
      <c r="B47" s="11" t="s">
        <v>26</v>
      </c>
      <c r="C47" s="6">
        <v>9.1</v>
      </c>
      <c r="D47" s="6">
        <v>0.2</v>
      </c>
      <c r="E47" s="7">
        <f t="shared" si="1"/>
        <v>1.82</v>
      </c>
    </row>
    <row r="48" spans="2:5" ht="12.75">
      <c r="B48" s="11" t="s">
        <v>27</v>
      </c>
      <c r="C48" s="271"/>
      <c r="D48" s="271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12.7725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38.6325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N33" sqref="N33"/>
    </sheetView>
  </sheetViews>
  <sheetFormatPr defaultColWidth="9.140625" defaultRowHeight="12.75"/>
  <sheetData>
    <row r="1" spans="1:15" ht="12.7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3" t="s">
        <v>250</v>
      </c>
      <c r="G5" s="293"/>
      <c r="H5" s="293"/>
      <c r="I5" s="293"/>
      <c r="J5" s="293"/>
      <c r="K5" s="293"/>
      <c r="L5" s="293"/>
      <c r="M5" s="293"/>
    </row>
    <row r="7" spans="1:13" ht="12.75">
      <c r="A7" t="s">
        <v>120</v>
      </c>
      <c r="F7" s="274" t="s">
        <v>377</v>
      </c>
      <c r="G7" s="274" t="s">
        <v>381</v>
      </c>
      <c r="H7" s="274" t="s">
        <v>380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11.1</v>
      </c>
      <c r="G9" s="6">
        <v>6.19</v>
      </c>
      <c r="H9" s="6">
        <v>1.59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4.25">
      <c r="A13" t="s">
        <v>253</v>
      </c>
      <c r="F13" s="6">
        <v>1.33</v>
      </c>
      <c r="G13" s="6">
        <v>1.41</v>
      </c>
      <c r="H13" s="6">
        <v>1.49</v>
      </c>
      <c r="I13" s="6"/>
      <c r="J13" s="6"/>
      <c r="K13" s="6"/>
      <c r="L13" s="6"/>
      <c r="M13" s="6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6:13" ht="12.75">
      <c r="F19" s="101" t="s">
        <v>67</v>
      </c>
      <c r="G19" s="101" t="s">
        <v>67</v>
      </c>
      <c r="H19" s="101" t="s">
        <v>67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</row>
    <row r="21" spans="1:14" ht="12.75">
      <c r="A21" t="s">
        <v>255</v>
      </c>
      <c r="B21" t="s">
        <v>6</v>
      </c>
      <c r="F21" s="7">
        <f>F9*F13*F17</f>
        <v>5.905200000000001</v>
      </c>
      <c r="G21" s="7">
        <f aca="true" t="shared" si="0" ref="G21:M21">G9*G13*G17</f>
        <v>3.4911600000000003</v>
      </c>
      <c r="H21" s="7">
        <f t="shared" si="0"/>
        <v>0.94764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64</v>
      </c>
      <c r="M27" s="101" t="s">
        <v>64</v>
      </c>
    </row>
    <row r="29" spans="6:13" ht="12.75">
      <c r="F29" s="155">
        <v>0.04</v>
      </c>
      <c r="G29" s="155">
        <v>0.04</v>
      </c>
      <c r="H29" s="155">
        <v>0.04</v>
      </c>
      <c r="I29" s="155">
        <v>0.04</v>
      </c>
      <c r="J29" s="155">
        <v>0.04</v>
      </c>
      <c r="K29" s="155">
        <v>0.04</v>
      </c>
      <c r="L29" s="155">
        <v>0.04</v>
      </c>
      <c r="M29" s="155">
        <v>0.04</v>
      </c>
    </row>
    <row r="31" spans="6:13" ht="12.75">
      <c r="F31" s="101" t="s">
        <v>67</v>
      </c>
      <c r="G31" s="101" t="s">
        <v>67</v>
      </c>
      <c r="H31" s="101" t="s">
        <v>67</v>
      </c>
      <c r="I31" s="101" t="s">
        <v>67</v>
      </c>
      <c r="J31" s="101" t="s">
        <v>67</v>
      </c>
      <c r="K31" s="101" t="s">
        <v>67</v>
      </c>
      <c r="L31" s="101" t="s">
        <v>67</v>
      </c>
      <c r="M31" s="101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77.94864000000001</v>
      </c>
      <c r="G33" s="9">
        <f aca="true" t="shared" si="1" ref="G33:M33">G21*G25*G29</f>
        <v>65.63380800000002</v>
      </c>
      <c r="H33" s="9">
        <f t="shared" si="1"/>
        <v>15.162240000000002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6">
        <f>SUM(F33:M33)</f>
        <v>158.74468800000002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P15" sqref="P15"/>
    </sheetView>
  </sheetViews>
  <sheetFormatPr defaultColWidth="9.140625" defaultRowHeight="12.75"/>
  <cols>
    <col min="5" max="5" width="12.7109375" style="0" customWidth="1"/>
  </cols>
  <sheetData>
    <row r="1" spans="1:15" ht="12.7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3" t="s">
        <v>261</v>
      </c>
      <c r="G5" s="293"/>
      <c r="H5" s="293"/>
      <c r="I5" s="293"/>
      <c r="J5" s="293"/>
      <c r="K5" s="293"/>
      <c r="L5" s="293"/>
      <c r="M5" s="293"/>
    </row>
    <row r="7" spans="1:13" ht="12.75">
      <c r="A7" t="s">
        <v>120</v>
      </c>
      <c r="F7" s="274" t="s">
        <v>523</v>
      </c>
      <c r="G7" s="274" t="s">
        <v>524</v>
      </c>
      <c r="H7" s="274" t="s">
        <v>381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0.1</v>
      </c>
      <c r="G9" s="6">
        <v>0.72</v>
      </c>
      <c r="H9" s="6">
        <v>0.25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2.75">
      <c r="A13" t="s">
        <v>262</v>
      </c>
      <c r="F13" s="6">
        <f>0.3*0.7+0.7*0.44</f>
        <v>0.518</v>
      </c>
      <c r="G13" s="6">
        <f>0.3*0.7+0.7*0.44</f>
        <v>0.518</v>
      </c>
      <c r="H13" s="6">
        <f>0.3*0.7+0.7*0.44</f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0.57</v>
      </c>
      <c r="I17" s="6"/>
      <c r="J17" s="6"/>
      <c r="K17" s="6"/>
      <c r="L17" s="6"/>
      <c r="M17" s="6"/>
    </row>
    <row r="19" spans="6:13" ht="12.75">
      <c r="F19" s="101" t="s">
        <v>64</v>
      </c>
      <c r="G19" s="101" t="s">
        <v>64</v>
      </c>
      <c r="H19" s="101" t="s">
        <v>64</v>
      </c>
      <c r="I19" s="101" t="s">
        <v>64</v>
      </c>
      <c r="J19" s="101" t="s">
        <v>64</v>
      </c>
      <c r="K19" s="101" t="s">
        <v>64</v>
      </c>
      <c r="L19" s="101" t="s">
        <v>64</v>
      </c>
      <c r="M19" s="101" t="s">
        <v>64</v>
      </c>
    </row>
    <row r="21" spans="1:13" ht="12.75">
      <c r="A21" t="s">
        <v>265</v>
      </c>
      <c r="F21" s="6">
        <v>0.72</v>
      </c>
      <c r="G21" s="6">
        <v>0.72</v>
      </c>
      <c r="H21" s="6">
        <v>0.43</v>
      </c>
      <c r="I21" s="6"/>
      <c r="J21" s="6"/>
      <c r="K21" s="6"/>
      <c r="L21" s="6"/>
      <c r="M21" s="6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7"/>
      <c r="O26" s="157"/>
    </row>
    <row r="27" spans="6:13" ht="12.75">
      <c r="F27" s="101" t="s">
        <v>67</v>
      </c>
      <c r="G27" s="101" t="s">
        <v>67</v>
      </c>
      <c r="H27" s="101" t="s">
        <v>67</v>
      </c>
      <c r="I27" s="101" t="s">
        <v>67</v>
      </c>
      <c r="J27" s="101" t="s">
        <v>67</v>
      </c>
      <c r="K27" s="101" t="s">
        <v>67</v>
      </c>
      <c r="L27" s="101" t="s">
        <v>67</v>
      </c>
      <c r="M27" s="101" t="s">
        <v>67</v>
      </c>
    </row>
    <row r="29" spans="1:13" ht="12.75">
      <c r="A29" t="s">
        <v>267</v>
      </c>
      <c r="F29" s="7">
        <f>F9*F13*F17*F21*F25</f>
        <v>0.019132847999999997</v>
      </c>
      <c r="G29" s="7">
        <f aca="true" t="shared" si="0" ref="G29:M29">G9*G13*G17*G21*G25</f>
        <v>0.15709075200000003</v>
      </c>
      <c r="H29" s="7">
        <f t="shared" si="0"/>
        <v>0.028566404999999996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1" t="s">
        <v>64</v>
      </c>
      <c r="G31" s="101" t="s">
        <v>64</v>
      </c>
      <c r="H31" s="101" t="s">
        <v>64</v>
      </c>
      <c r="I31" s="101" t="s">
        <v>64</v>
      </c>
      <c r="J31" s="101" t="s">
        <v>64</v>
      </c>
      <c r="K31" s="101" t="s">
        <v>64</v>
      </c>
      <c r="L31" s="101" t="s">
        <v>64</v>
      </c>
      <c r="M31" s="101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1" t="s">
        <v>67</v>
      </c>
      <c r="G35" s="101" t="s">
        <v>67</v>
      </c>
      <c r="H35" s="101" t="s">
        <v>67</v>
      </c>
      <c r="I35" s="101" t="s">
        <v>67</v>
      </c>
      <c r="J35" s="101" t="s">
        <v>67</v>
      </c>
      <c r="K35" s="101" t="s">
        <v>67</v>
      </c>
      <c r="L35" s="101" t="s">
        <v>67</v>
      </c>
      <c r="M35" s="101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6.313839839999999</v>
      </c>
      <c r="G37" s="9">
        <f aca="true" t="shared" si="1" ref="G37:M37">G29*G33</f>
        <v>51.839948160000006</v>
      </c>
      <c r="H37" s="9">
        <f t="shared" si="1"/>
        <v>13.426210349999998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6">
        <f>SUM(F37:M37)</f>
        <v>71.57999835000001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spans="1:11" ht="12.75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8"/>
      <c r="C6" s="63"/>
      <c r="D6" s="63"/>
      <c r="E6" s="63"/>
      <c r="F6" s="63"/>
      <c r="G6" s="63"/>
      <c r="H6" s="63"/>
      <c r="I6" s="140"/>
    </row>
    <row r="7" spans="2:9" ht="14.25">
      <c r="B7" s="141" t="s">
        <v>272</v>
      </c>
      <c r="C7" s="35"/>
      <c r="D7" s="35"/>
      <c r="E7" s="35"/>
      <c r="F7" s="35"/>
      <c r="G7" s="35"/>
      <c r="H7" s="61">
        <f>'FCIV.1e'!H31</f>
        <v>4</v>
      </c>
      <c r="I7" s="143"/>
    </row>
    <row r="8" spans="2:9" ht="12.75">
      <c r="B8" s="141" t="s">
        <v>153</v>
      </c>
      <c r="C8" s="35"/>
      <c r="D8" s="35"/>
      <c r="E8" s="35"/>
      <c r="F8" s="35"/>
      <c r="G8" s="35"/>
      <c r="H8" s="35"/>
      <c r="I8" s="143"/>
    </row>
    <row r="9" spans="2:9" ht="12.75">
      <c r="B9" s="141"/>
      <c r="C9" s="35"/>
      <c r="D9" s="35"/>
      <c r="E9" s="35"/>
      <c r="F9" s="35"/>
      <c r="G9" s="35"/>
      <c r="H9" s="38" t="s">
        <v>64</v>
      </c>
      <c r="I9" s="143"/>
    </row>
    <row r="10" spans="2:9" ht="12.75">
      <c r="B10" s="141"/>
      <c r="C10" s="35"/>
      <c r="D10" s="35"/>
      <c r="E10" s="35"/>
      <c r="F10" s="35"/>
      <c r="G10" s="35"/>
      <c r="H10" s="35"/>
      <c r="I10" s="143"/>
    </row>
    <row r="11" spans="2:9" ht="12.75">
      <c r="B11" s="141" t="s">
        <v>216</v>
      </c>
      <c r="C11" s="35"/>
      <c r="D11" s="35"/>
      <c r="E11" s="35"/>
      <c r="F11" s="35"/>
      <c r="G11" s="35"/>
      <c r="H11" s="8">
        <f>'FCIV.1d'!G5</f>
        <v>35.16</v>
      </c>
      <c r="I11" s="143"/>
    </row>
    <row r="12" spans="2:9" ht="12.75">
      <c r="B12" s="141"/>
      <c r="C12" s="35"/>
      <c r="D12" s="35"/>
      <c r="E12" s="35"/>
      <c r="F12" s="35"/>
      <c r="G12" s="35"/>
      <c r="H12" s="35"/>
      <c r="I12" s="143"/>
    </row>
    <row r="13" spans="2:9" ht="12.75">
      <c r="B13" s="141"/>
      <c r="C13" s="35"/>
      <c r="D13" s="35"/>
      <c r="E13" s="35"/>
      <c r="F13" s="35"/>
      <c r="G13" s="35"/>
      <c r="H13" s="38" t="s">
        <v>64</v>
      </c>
      <c r="I13" s="143"/>
    </row>
    <row r="14" spans="2:9" ht="12.75">
      <c r="B14" s="141"/>
      <c r="C14" s="35"/>
      <c r="D14" s="35"/>
      <c r="E14" s="35"/>
      <c r="F14" s="35"/>
      <c r="G14" s="35"/>
      <c r="H14" s="35"/>
      <c r="I14" s="143"/>
    </row>
    <row r="15" spans="2:9" ht="12.75">
      <c r="B15" s="141"/>
      <c r="C15" s="35"/>
      <c r="D15" s="35"/>
      <c r="E15" s="35"/>
      <c r="F15" s="35"/>
      <c r="G15" s="35"/>
      <c r="H15" s="36">
        <v>2.928</v>
      </c>
      <c r="I15" s="143"/>
    </row>
    <row r="16" spans="2:9" ht="12.75">
      <c r="B16" s="141"/>
      <c r="C16" s="35"/>
      <c r="D16" s="35"/>
      <c r="E16" s="35"/>
      <c r="F16" s="35"/>
      <c r="G16" s="35"/>
      <c r="H16" s="36"/>
      <c r="I16" s="143"/>
    </row>
    <row r="17" spans="2:9" ht="12.75">
      <c r="B17" s="141"/>
      <c r="C17" s="35"/>
      <c r="D17" s="35"/>
      <c r="E17" s="35"/>
      <c r="F17" s="35"/>
      <c r="G17" s="35"/>
      <c r="H17" s="38" t="s">
        <v>67</v>
      </c>
      <c r="I17" s="143"/>
    </row>
    <row r="18" spans="2:9" ht="13.5" thickBot="1">
      <c r="B18" s="141"/>
      <c r="C18" s="35"/>
      <c r="D18" s="35"/>
      <c r="E18" s="35"/>
      <c r="F18" s="35"/>
      <c r="G18" s="35"/>
      <c r="H18" s="35"/>
      <c r="I18" s="143"/>
    </row>
    <row r="19" spans="1:9" ht="13.5" thickBot="1">
      <c r="A19" s="159"/>
      <c r="B19" s="145" t="s">
        <v>273</v>
      </c>
      <c r="C19" s="35"/>
      <c r="D19" s="35"/>
      <c r="E19" s="35"/>
      <c r="F19" s="35"/>
      <c r="G19" s="35"/>
      <c r="H19" s="160">
        <f>H7*H11*H15</f>
        <v>411.79391999999996</v>
      </c>
      <c r="I19" s="161" t="s">
        <v>270</v>
      </c>
    </row>
    <row r="20" spans="2:9" ht="12.75">
      <c r="B20" s="4"/>
      <c r="C20" s="146"/>
      <c r="D20" s="146"/>
      <c r="E20" s="146"/>
      <c r="F20" s="146"/>
      <c r="G20" s="146"/>
      <c r="H20" s="146"/>
      <c r="I20" s="148"/>
    </row>
    <row r="27" spans="1:11" ht="12.75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12.75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2" spans="2:9" ht="13.5" thickBot="1">
      <c r="B32" s="2"/>
      <c r="C32" s="63"/>
      <c r="D32" s="63"/>
      <c r="E32" s="63"/>
      <c r="F32" s="63"/>
      <c r="G32" s="63"/>
      <c r="H32" s="63"/>
      <c r="I32" s="140"/>
    </row>
    <row r="33" spans="1:9" ht="13.5" thickBot="1">
      <c r="A33" s="159"/>
      <c r="B33" s="145" t="s">
        <v>269</v>
      </c>
      <c r="C33" s="35"/>
      <c r="D33" s="35"/>
      <c r="E33" s="35"/>
      <c r="F33" s="35"/>
      <c r="G33" s="35"/>
      <c r="H33" s="156">
        <f>'FCV.1d'!N37</f>
        <v>71.57999835000001</v>
      </c>
      <c r="I33" s="161" t="s">
        <v>270</v>
      </c>
    </row>
    <row r="34" spans="2:9" ht="12.75">
      <c r="B34" s="145" t="s">
        <v>276</v>
      </c>
      <c r="C34" s="35"/>
      <c r="D34" s="35"/>
      <c r="E34" s="35"/>
      <c r="F34" s="35"/>
      <c r="G34" s="35"/>
      <c r="H34" s="144"/>
      <c r="I34" s="143"/>
    </row>
    <row r="35" spans="2:9" ht="12.75">
      <c r="B35" s="145"/>
      <c r="C35" s="35"/>
      <c r="D35" s="35"/>
      <c r="E35" s="35"/>
      <c r="F35" s="35"/>
      <c r="G35" s="35"/>
      <c r="H35" s="142" t="s">
        <v>224</v>
      </c>
      <c r="I35" s="143"/>
    </row>
    <row r="36" spans="2:9" ht="13.5" thickBot="1">
      <c r="B36" s="141"/>
      <c r="C36" s="35"/>
      <c r="D36" s="35"/>
      <c r="E36" s="35"/>
      <c r="F36" s="35"/>
      <c r="G36" s="35"/>
      <c r="H36" s="144"/>
      <c r="I36" s="143"/>
    </row>
    <row r="37" spans="1:9" ht="13.5" thickBot="1">
      <c r="A37" s="159"/>
      <c r="B37" s="145" t="s">
        <v>258</v>
      </c>
      <c r="C37" s="35"/>
      <c r="D37" s="35"/>
      <c r="E37" s="35"/>
      <c r="F37" s="35"/>
      <c r="G37" s="35"/>
      <c r="H37" s="156">
        <f>'FCV.1c'!N33</f>
        <v>158.74468800000002</v>
      </c>
      <c r="I37" s="161" t="s">
        <v>270</v>
      </c>
    </row>
    <row r="38" spans="2:9" ht="12.75">
      <c r="B38" s="145" t="s">
        <v>277</v>
      </c>
      <c r="C38" s="35"/>
      <c r="D38" s="35"/>
      <c r="E38" s="35"/>
      <c r="F38" s="35"/>
      <c r="G38" s="35"/>
      <c r="H38" s="144"/>
      <c r="I38" s="143"/>
    </row>
    <row r="39" spans="2:9" ht="12.75">
      <c r="B39" s="141"/>
      <c r="C39" s="35"/>
      <c r="D39" s="35"/>
      <c r="E39" s="35"/>
      <c r="F39" s="35"/>
      <c r="G39" s="35"/>
      <c r="H39" s="142" t="s">
        <v>224</v>
      </c>
      <c r="I39" s="143"/>
    </row>
    <row r="40" spans="2:9" ht="13.5" thickBot="1">
      <c r="B40" s="141"/>
      <c r="C40" s="35"/>
      <c r="D40" s="35"/>
      <c r="E40" s="35"/>
      <c r="F40" s="35"/>
      <c r="G40" s="35"/>
      <c r="H40" s="144"/>
      <c r="I40" s="143"/>
    </row>
    <row r="41" spans="1:9" ht="13.5" thickBot="1">
      <c r="A41" s="159"/>
      <c r="B41" s="145" t="s">
        <v>278</v>
      </c>
      <c r="C41" s="35"/>
      <c r="D41" s="35"/>
      <c r="E41" s="35"/>
      <c r="F41" s="35"/>
      <c r="G41" s="35"/>
      <c r="H41" s="156">
        <f>H19</f>
        <v>411.79391999999996</v>
      </c>
      <c r="I41" s="161" t="s">
        <v>270</v>
      </c>
    </row>
    <row r="42" spans="2:9" ht="12.75">
      <c r="B42" s="145" t="s">
        <v>279</v>
      </c>
      <c r="C42" s="35"/>
      <c r="D42" s="35"/>
      <c r="E42" s="35"/>
      <c r="F42" s="35"/>
      <c r="G42" s="35"/>
      <c r="H42" s="144"/>
      <c r="I42" s="143"/>
    </row>
    <row r="43" spans="2:9" ht="12.75">
      <c r="B43" s="141"/>
      <c r="C43" s="35"/>
      <c r="D43" s="35"/>
      <c r="E43" s="35"/>
      <c r="F43" s="35"/>
      <c r="G43" s="35"/>
      <c r="H43" s="142" t="s">
        <v>67</v>
      </c>
      <c r="I43" s="143"/>
    </row>
    <row r="44" spans="2:9" ht="13.5" thickBot="1">
      <c r="B44" s="141"/>
      <c r="C44" s="35"/>
      <c r="D44" s="35"/>
      <c r="E44" s="35"/>
      <c r="F44" s="35"/>
      <c r="G44" s="35"/>
      <c r="H44" s="144"/>
      <c r="I44" s="143"/>
    </row>
    <row r="45" spans="1:9" ht="13.5" thickBot="1">
      <c r="A45" s="159"/>
      <c r="B45" s="145" t="s">
        <v>280</v>
      </c>
      <c r="C45" s="35"/>
      <c r="D45" s="35"/>
      <c r="E45" s="35"/>
      <c r="F45" s="35"/>
      <c r="G45" s="35"/>
      <c r="H45" s="156">
        <f>H33+H37+H41</f>
        <v>642.1186063499999</v>
      </c>
      <c r="I45" s="161" t="s">
        <v>270</v>
      </c>
    </row>
    <row r="46" spans="2:9" ht="12.75">
      <c r="B46" s="4"/>
      <c r="C46" s="146"/>
      <c r="D46" s="146"/>
      <c r="E46" s="146"/>
      <c r="F46" s="146"/>
      <c r="G46" s="146"/>
      <c r="H46" s="147"/>
      <c r="I46" s="148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4">
      <selection activeCell="L63" sqref="L63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3"/>
    </row>
    <row r="2" spans="1:12" ht="12.75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3"/>
    </row>
    <row r="5" spans="1:9" ht="12.75">
      <c r="A5" s="159"/>
      <c r="B5" s="16" t="s">
        <v>280</v>
      </c>
      <c r="H5" s="9">
        <f>'FCV.1ef'!H45</f>
        <v>642.1186063499999</v>
      </c>
      <c r="I5" s="17" t="s">
        <v>240</v>
      </c>
    </row>
    <row r="6" spans="2:8" ht="12.75">
      <c r="B6" t="s">
        <v>283</v>
      </c>
      <c r="H6" s="101" t="s">
        <v>284</v>
      </c>
    </row>
    <row r="7" ht="12.75">
      <c r="H7" s="101" t="s">
        <v>100</v>
      </c>
    </row>
    <row r="9" spans="1:13" ht="12.75">
      <c r="A9" s="159"/>
      <c r="B9" s="16" t="s">
        <v>285</v>
      </c>
      <c r="H9" s="9">
        <f>'FCV.1a'!I35</f>
        <v>338.4109691904</v>
      </c>
      <c r="I9" s="17" t="s">
        <v>240</v>
      </c>
      <c r="K9" s="164" t="s">
        <v>160</v>
      </c>
      <c r="L9" s="165"/>
      <c r="M9" s="166"/>
    </row>
    <row r="10" spans="2:13" ht="12.75">
      <c r="B10" t="s">
        <v>286</v>
      </c>
      <c r="K10" s="167"/>
      <c r="L10" s="168"/>
      <c r="M10" s="169"/>
    </row>
    <row r="11" spans="8:13" ht="15.75">
      <c r="H11" s="101" t="s">
        <v>67</v>
      </c>
      <c r="K11" s="170" t="s">
        <v>168</v>
      </c>
      <c r="L11" s="168" t="str">
        <f>IF(H15=1,"1,8",IF(H15=2,"2,6","4,2"))</f>
        <v>2,6</v>
      </c>
      <c r="M11" s="169"/>
    </row>
    <row r="12" spans="11:13" ht="12.75">
      <c r="K12" s="167" t="s">
        <v>287</v>
      </c>
      <c r="L12" s="171" t="s">
        <v>164</v>
      </c>
      <c r="M12" s="169">
        <f>L11/(L11+1)</f>
        <v>0.7222222222222222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1.897452106491043</v>
      </c>
      <c r="I13" s="17"/>
      <c r="K13" s="172" t="s">
        <v>290</v>
      </c>
      <c r="L13" s="171" t="s">
        <v>164</v>
      </c>
      <c r="M13" s="169">
        <f>(1-H13^L11)/(1-H13^(L11+1))</f>
        <v>0.47465934000811555</v>
      </c>
    </row>
    <row r="14" spans="11:13" ht="12.75">
      <c r="K14" s="173"/>
      <c r="L14" s="174"/>
      <c r="M14" s="175"/>
    </row>
    <row r="15" spans="2:8" ht="12.75">
      <c r="B15" s="16" t="s">
        <v>291</v>
      </c>
      <c r="D15" s="176" t="s">
        <v>169</v>
      </c>
      <c r="H15" s="61">
        <f>'FCIV.1e'!D47</f>
        <v>2</v>
      </c>
    </row>
    <row r="16" spans="2:10" ht="13.5" thickBot="1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8"/>
      <c r="C18" s="63"/>
      <c r="D18" s="63"/>
      <c r="E18" s="63"/>
      <c r="F18" s="63"/>
      <c r="G18" s="63"/>
      <c r="H18" s="63"/>
      <c r="I18" s="63"/>
      <c r="J18" s="140"/>
    </row>
    <row r="19" spans="2:10" ht="12.75">
      <c r="B19" s="141"/>
      <c r="C19" s="35"/>
      <c r="D19" s="35"/>
      <c r="E19" s="35"/>
      <c r="F19" s="35"/>
      <c r="G19" s="35"/>
      <c r="H19" s="68">
        <v>1</v>
      </c>
      <c r="I19" s="35"/>
      <c r="J19" s="143"/>
    </row>
    <row r="20" spans="2:10" ht="12.75">
      <c r="B20" s="141"/>
      <c r="C20" s="35"/>
      <c r="D20" s="35"/>
      <c r="E20" s="35"/>
      <c r="F20" s="35"/>
      <c r="G20" s="35"/>
      <c r="H20" s="35"/>
      <c r="I20" s="35"/>
      <c r="J20" s="143"/>
    </row>
    <row r="21" spans="2:10" ht="12.75">
      <c r="B21" s="141"/>
      <c r="C21" s="35"/>
      <c r="D21" s="35"/>
      <c r="E21" s="35"/>
      <c r="F21" s="35"/>
      <c r="G21" s="35"/>
      <c r="H21" s="38" t="s">
        <v>213</v>
      </c>
      <c r="I21" s="35"/>
      <c r="J21" s="143"/>
    </row>
    <row r="22" spans="2:10" ht="12.75">
      <c r="B22" s="141"/>
      <c r="C22" s="35"/>
      <c r="D22" s="35"/>
      <c r="E22" s="35"/>
      <c r="F22" s="35"/>
      <c r="G22" s="35"/>
      <c r="H22" s="35"/>
      <c r="I22" s="35"/>
      <c r="J22" s="143"/>
    </row>
    <row r="23" spans="2:10" ht="12.75">
      <c r="B23" s="141" t="s">
        <v>292</v>
      </c>
      <c r="C23" s="35"/>
      <c r="D23" s="35"/>
      <c r="E23" s="35"/>
      <c r="F23" s="35"/>
      <c r="G23" s="35"/>
      <c r="H23" s="61">
        <f>IF(H13=1,M12,M13)</f>
        <v>0.47465934000811555</v>
      </c>
      <c r="I23" s="35"/>
      <c r="J23" s="143"/>
    </row>
    <row r="24" spans="2:10" ht="12.75">
      <c r="B24" s="141" t="s">
        <v>293</v>
      </c>
      <c r="C24" s="35"/>
      <c r="D24" s="35"/>
      <c r="E24" s="35"/>
      <c r="F24" s="35"/>
      <c r="G24" s="35"/>
      <c r="H24" s="35"/>
      <c r="I24" s="35"/>
      <c r="J24" s="143"/>
    </row>
    <row r="25" spans="2:10" ht="12.75">
      <c r="B25" s="141"/>
      <c r="C25" s="35"/>
      <c r="D25" s="35"/>
      <c r="E25" s="35"/>
      <c r="F25" s="35"/>
      <c r="G25" s="35"/>
      <c r="H25" s="38" t="s">
        <v>67</v>
      </c>
      <c r="I25" s="35"/>
      <c r="J25" s="143"/>
    </row>
    <row r="26" spans="2:10" ht="12.75">
      <c r="B26" s="141"/>
      <c r="C26" s="35"/>
      <c r="D26" s="35"/>
      <c r="E26" s="35"/>
      <c r="F26" s="35"/>
      <c r="G26" s="35"/>
      <c r="H26" s="35"/>
      <c r="I26" s="35"/>
      <c r="J26" s="143"/>
    </row>
    <row r="27" spans="2:10" ht="12.75">
      <c r="B27" s="141"/>
      <c r="C27" s="35"/>
      <c r="D27" s="35"/>
      <c r="E27" s="35"/>
      <c r="F27" s="35"/>
      <c r="G27" s="35"/>
      <c r="H27" s="8">
        <f>H19-H23</f>
        <v>0.5253406599918844</v>
      </c>
      <c r="I27" s="35"/>
      <c r="J27" s="143"/>
    </row>
    <row r="28" spans="2:10" ht="12.75">
      <c r="B28" s="141"/>
      <c r="C28" s="35"/>
      <c r="D28" s="35"/>
      <c r="E28" s="35"/>
      <c r="F28" s="35"/>
      <c r="G28" s="35"/>
      <c r="H28" s="35"/>
      <c r="I28" s="35"/>
      <c r="J28" s="143"/>
    </row>
    <row r="29" spans="2:10" ht="12.75">
      <c r="B29" s="141"/>
      <c r="C29" s="35"/>
      <c r="D29" s="35"/>
      <c r="E29" s="35"/>
      <c r="F29" s="35"/>
      <c r="G29" s="35"/>
      <c r="H29" s="36" t="s">
        <v>64</v>
      </c>
      <c r="I29" s="35"/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5"/>
      <c r="J30" s="143"/>
    </row>
    <row r="31" spans="1:10" ht="12.75">
      <c r="A31" s="159"/>
      <c r="B31" s="145" t="s">
        <v>280</v>
      </c>
      <c r="C31" s="35"/>
      <c r="D31" s="35"/>
      <c r="E31" s="35"/>
      <c r="F31" s="35"/>
      <c r="G31" s="35"/>
      <c r="H31" s="9">
        <f>H5</f>
        <v>642.1186063499999</v>
      </c>
      <c r="I31" s="178" t="s">
        <v>240</v>
      </c>
      <c r="J31" s="143"/>
    </row>
    <row r="32" spans="2:10" ht="12.75">
      <c r="B32" s="141" t="s">
        <v>283</v>
      </c>
      <c r="C32" s="35"/>
      <c r="D32" s="35"/>
      <c r="E32" s="35"/>
      <c r="F32" s="35"/>
      <c r="G32" s="35"/>
      <c r="H32" s="144"/>
      <c r="I32" s="36"/>
      <c r="J32" s="143"/>
    </row>
    <row r="33" spans="2:10" ht="12.75">
      <c r="B33" s="145"/>
      <c r="C33" s="35"/>
      <c r="D33" s="35"/>
      <c r="E33" s="35"/>
      <c r="F33" s="35"/>
      <c r="G33" s="35"/>
      <c r="H33" s="142" t="s">
        <v>67</v>
      </c>
      <c r="I33" s="36"/>
      <c r="J33" s="143"/>
    </row>
    <row r="34" spans="2:10" ht="12.75">
      <c r="B34" s="145"/>
      <c r="C34" s="35"/>
      <c r="D34" s="35"/>
      <c r="E34" s="35"/>
      <c r="F34" s="35"/>
      <c r="G34" s="35"/>
      <c r="H34" s="135"/>
      <c r="I34" s="36"/>
      <c r="J34" s="143"/>
    </row>
    <row r="35" spans="2:10" ht="12.75">
      <c r="B35" s="145" t="s">
        <v>294</v>
      </c>
      <c r="C35" s="35"/>
      <c r="D35" s="35"/>
      <c r="E35" s="35"/>
      <c r="F35" s="35"/>
      <c r="G35" s="35"/>
      <c r="H35" s="179">
        <f>H27*H31</f>
        <v>337.331012452978</v>
      </c>
      <c r="I35" s="178" t="s">
        <v>158</v>
      </c>
      <c r="J35" s="143"/>
    </row>
    <row r="36" spans="2:10" ht="12.75">
      <c r="B36" s="145"/>
      <c r="C36" s="35"/>
      <c r="D36" s="35"/>
      <c r="E36" s="35"/>
      <c r="F36" s="35"/>
      <c r="G36" s="35"/>
      <c r="H36" s="135"/>
      <c r="I36" s="178"/>
      <c r="J36" s="143"/>
    </row>
    <row r="37" spans="2:10" ht="12.75">
      <c r="B37" s="145"/>
      <c r="C37" s="35"/>
      <c r="D37" s="35"/>
      <c r="E37" s="35"/>
      <c r="F37" s="35"/>
      <c r="G37" s="35"/>
      <c r="H37" s="142" t="s">
        <v>224</v>
      </c>
      <c r="I37" s="178"/>
      <c r="J37" s="143"/>
    </row>
    <row r="38" spans="2:10" ht="12.75">
      <c r="B38" s="145"/>
      <c r="C38" s="35"/>
      <c r="D38" s="35"/>
      <c r="E38" s="35"/>
      <c r="F38" s="35"/>
      <c r="G38" s="35"/>
      <c r="H38" s="135"/>
      <c r="I38" s="178"/>
      <c r="J38" s="143"/>
    </row>
    <row r="39" spans="2:10" ht="12.75">
      <c r="B39" s="145" t="s">
        <v>295</v>
      </c>
      <c r="C39" s="35"/>
      <c r="D39" s="35"/>
      <c r="E39" s="35"/>
      <c r="F39" s="35"/>
      <c r="G39" s="35"/>
      <c r="H39" s="180">
        <v>0</v>
      </c>
      <c r="I39" s="51" t="s">
        <v>509</v>
      </c>
      <c r="J39" s="143"/>
    </row>
    <row r="40" spans="2:10" ht="12.75">
      <c r="B40" s="181" t="s">
        <v>296</v>
      </c>
      <c r="C40" s="35"/>
      <c r="D40" s="35"/>
      <c r="E40" s="35"/>
      <c r="F40" s="35"/>
      <c r="G40" s="35"/>
      <c r="H40" s="142"/>
      <c r="I40" s="36"/>
      <c r="J40" s="143"/>
    </row>
    <row r="41" spans="2:10" ht="12.75">
      <c r="B41" s="181"/>
      <c r="C41" s="35"/>
      <c r="D41" s="35"/>
      <c r="E41" s="35"/>
      <c r="F41" s="35"/>
      <c r="G41" s="35"/>
      <c r="H41" s="142" t="s">
        <v>67</v>
      </c>
      <c r="I41" s="36"/>
      <c r="J41" s="143"/>
    </row>
    <row r="42" spans="2:10" ht="12.75">
      <c r="B42" s="181"/>
      <c r="C42" s="35"/>
      <c r="D42" s="35"/>
      <c r="E42" s="35"/>
      <c r="F42" s="35"/>
      <c r="G42" s="35"/>
      <c r="H42" s="135"/>
      <c r="I42" s="36"/>
      <c r="J42" s="143"/>
    </row>
    <row r="43" spans="2:10" ht="12.75">
      <c r="B43" s="181"/>
      <c r="C43" s="35"/>
      <c r="D43" s="35"/>
      <c r="E43" s="35"/>
      <c r="F43" s="35"/>
      <c r="G43" s="152" t="s">
        <v>7</v>
      </c>
      <c r="H43" s="179">
        <f>H35+H39</f>
        <v>337.331012452978</v>
      </c>
      <c r="I43" s="178" t="s">
        <v>158</v>
      </c>
      <c r="J43" s="143"/>
    </row>
    <row r="44" spans="2:10" ht="12.75">
      <c r="B44" s="181"/>
      <c r="C44" s="35"/>
      <c r="D44" s="35"/>
      <c r="E44" s="35"/>
      <c r="F44" s="35"/>
      <c r="G44" s="35"/>
      <c r="H44" s="135"/>
      <c r="I44" s="36"/>
      <c r="J44" s="143"/>
    </row>
    <row r="45" spans="2:10" ht="12.75">
      <c r="B45" s="145"/>
      <c r="C45" s="35"/>
      <c r="D45" s="35"/>
      <c r="E45" s="35"/>
      <c r="F45" s="35"/>
      <c r="G45" s="35"/>
      <c r="H45" s="142" t="s">
        <v>100</v>
      </c>
      <c r="I45" s="36"/>
      <c r="J45" s="143"/>
    </row>
    <row r="46" spans="2:10" ht="12.75">
      <c r="B46" s="145"/>
      <c r="C46" s="35"/>
      <c r="D46" s="35"/>
      <c r="E46" s="35"/>
      <c r="F46" s="35"/>
      <c r="G46" s="35"/>
      <c r="H46" s="144"/>
      <c r="I46" s="36"/>
      <c r="J46" s="143"/>
    </row>
    <row r="47" spans="2:10" ht="14.25">
      <c r="B47" s="181" t="s">
        <v>297</v>
      </c>
      <c r="C47" s="35"/>
      <c r="D47" s="35"/>
      <c r="E47" s="35"/>
      <c r="F47" s="35"/>
      <c r="G47" s="35"/>
      <c r="H47" s="9">
        <f>'FCIV.1d'!G5</f>
        <v>35.16</v>
      </c>
      <c r="I47" s="178"/>
      <c r="J47" s="143"/>
    </row>
    <row r="48" spans="2:10" ht="12.75">
      <c r="B48" s="141"/>
      <c r="C48" s="35"/>
      <c r="D48" s="35"/>
      <c r="E48" s="35"/>
      <c r="F48" s="35"/>
      <c r="G48" s="35"/>
      <c r="H48" s="144"/>
      <c r="I48" s="35"/>
      <c r="J48" s="143"/>
    </row>
    <row r="49" spans="2:10" ht="12.75">
      <c r="B49" s="141"/>
      <c r="C49" s="35"/>
      <c r="D49" s="35"/>
      <c r="E49" s="35"/>
      <c r="F49" s="35"/>
      <c r="G49" s="35"/>
      <c r="H49" s="142" t="s">
        <v>67</v>
      </c>
      <c r="I49" s="35"/>
      <c r="J49" s="143"/>
    </row>
    <row r="50" spans="2:10" ht="13.5" thickBot="1">
      <c r="B50" s="141"/>
      <c r="C50" s="35"/>
      <c r="D50" s="35"/>
      <c r="E50" s="35"/>
      <c r="F50" s="35"/>
      <c r="G50" s="35"/>
      <c r="H50" s="144"/>
      <c r="I50" s="35"/>
      <c r="J50" s="143"/>
    </row>
    <row r="51" spans="2:10" ht="15" thickBot="1">
      <c r="B51" s="145" t="s">
        <v>298</v>
      </c>
      <c r="C51" s="35"/>
      <c r="D51" s="35"/>
      <c r="E51" s="35"/>
      <c r="F51" s="35"/>
      <c r="G51" s="35"/>
      <c r="H51" s="156">
        <f>H43/H47</f>
        <v>9.594169864987999</v>
      </c>
      <c r="I51" s="178" t="s">
        <v>299</v>
      </c>
      <c r="J51" s="143"/>
    </row>
    <row r="52" spans="2:10" ht="12.75">
      <c r="B52" s="141"/>
      <c r="C52" s="35"/>
      <c r="D52" s="35"/>
      <c r="E52" s="35"/>
      <c r="F52" s="35"/>
      <c r="G52" s="35"/>
      <c r="H52" s="35"/>
      <c r="I52" s="35"/>
      <c r="J52" s="143"/>
    </row>
    <row r="53" spans="2:10" ht="12.75">
      <c r="B53" s="141"/>
      <c r="C53" s="35"/>
      <c r="D53" s="35"/>
      <c r="E53" s="35"/>
      <c r="F53" s="35"/>
      <c r="G53" s="35"/>
      <c r="H53" s="36" t="s">
        <v>300</v>
      </c>
      <c r="I53" s="35"/>
      <c r="J53" s="143"/>
    </row>
    <row r="54" spans="2:10" ht="13.5" thickBot="1">
      <c r="B54" s="141"/>
      <c r="C54" s="35"/>
      <c r="D54" s="35"/>
      <c r="E54" s="35"/>
      <c r="F54" s="35"/>
      <c r="G54" s="35"/>
      <c r="H54" s="35"/>
      <c r="I54" s="35"/>
      <c r="J54" s="143"/>
    </row>
    <row r="55" spans="1:10" ht="15" thickBot="1">
      <c r="A55" s="159"/>
      <c r="B55" s="145" t="s">
        <v>301</v>
      </c>
      <c r="C55" s="35"/>
      <c r="D55" s="35"/>
      <c r="E55" s="35"/>
      <c r="F55" s="35"/>
      <c r="G55" s="35"/>
      <c r="H55" s="48">
        <v>32</v>
      </c>
      <c r="I55" s="178" t="s">
        <v>299</v>
      </c>
      <c r="J55" s="143"/>
    </row>
    <row r="56" spans="2:10" ht="12.75">
      <c r="B56" s="182" t="s">
        <v>435</v>
      </c>
      <c r="C56" s="146"/>
      <c r="D56" s="146"/>
      <c r="E56" s="146"/>
      <c r="F56" s="146"/>
      <c r="G56" s="146"/>
      <c r="H56" s="146"/>
      <c r="I56" s="146"/>
      <c r="J56" s="148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29.981780828087494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0">
      <selection activeCell="C33" sqref="C33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3" t="s">
        <v>436</v>
      </c>
      <c r="B1" s="324"/>
      <c r="C1" s="324"/>
      <c r="D1" s="324"/>
      <c r="E1" s="324"/>
      <c r="F1" s="324"/>
      <c r="G1" s="324"/>
      <c r="H1" s="32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.75">
      <c r="A3" s="183"/>
      <c r="B3" s="183"/>
      <c r="C3" s="185"/>
      <c r="D3" s="185"/>
      <c r="E3" s="185"/>
      <c r="H3" s="187"/>
      <c r="I3" s="183"/>
      <c r="J3" s="188"/>
      <c r="K3" s="183"/>
      <c r="L3" s="183"/>
      <c r="M3" s="184"/>
      <c r="N3" s="183"/>
      <c r="O3" s="184"/>
      <c r="P3" s="184"/>
      <c r="Q3" s="184"/>
    </row>
    <row r="4" spans="1:17" ht="16.5" thickBot="1">
      <c r="A4" s="184"/>
      <c r="B4" s="184"/>
      <c r="C4" s="184"/>
      <c r="D4" s="184"/>
      <c r="E4" s="184"/>
      <c r="H4" s="184"/>
      <c r="I4" s="184"/>
      <c r="J4" s="184"/>
      <c r="K4" s="183"/>
      <c r="L4" s="184"/>
      <c r="M4" s="184"/>
      <c r="N4" s="188"/>
      <c r="O4" s="187"/>
      <c r="P4" s="184"/>
      <c r="Q4" s="184"/>
    </row>
    <row r="5" spans="1:17" ht="13.5" thickBot="1">
      <c r="A5" s="184"/>
      <c r="B5" s="183" t="s">
        <v>444</v>
      </c>
      <c r="C5" s="257">
        <v>3</v>
      </c>
      <c r="D5" s="184"/>
      <c r="E5" s="184"/>
      <c r="H5" s="184"/>
      <c r="I5" s="184"/>
      <c r="J5" s="184"/>
      <c r="K5" s="184"/>
      <c r="L5" s="184"/>
      <c r="M5" s="184"/>
      <c r="N5" s="183"/>
      <c r="O5" s="184"/>
      <c r="P5" s="184"/>
      <c r="Q5" s="184"/>
    </row>
    <row r="6" spans="1:17" ht="13.5" thickBot="1">
      <c r="A6" s="184"/>
      <c r="B6" s="184"/>
      <c r="C6" s="258"/>
      <c r="D6" s="184"/>
      <c r="E6" s="184"/>
      <c r="H6" s="184"/>
      <c r="I6" s="184"/>
      <c r="J6" s="184"/>
      <c r="K6" s="184"/>
      <c r="L6" s="184"/>
      <c r="M6" s="184"/>
      <c r="N6" s="183"/>
      <c r="O6" s="184"/>
      <c r="P6" s="184"/>
      <c r="Q6" s="184"/>
    </row>
    <row r="7" spans="1:17" ht="15.75" customHeight="1" thickBot="1">
      <c r="A7" s="184"/>
      <c r="B7" s="183" t="s">
        <v>445</v>
      </c>
      <c r="C7" s="257">
        <v>40</v>
      </c>
      <c r="D7" s="184"/>
      <c r="E7" s="184"/>
      <c r="H7" s="184"/>
      <c r="I7" s="184"/>
      <c r="J7" s="184"/>
      <c r="K7" s="184"/>
      <c r="L7" s="184"/>
      <c r="M7" s="184"/>
      <c r="N7" s="183"/>
      <c r="O7" s="184"/>
      <c r="P7" s="184"/>
      <c r="Q7" s="184"/>
    </row>
    <row r="8" spans="1:17" ht="12.75">
      <c r="A8" s="184"/>
      <c r="B8" s="255" t="s">
        <v>437</v>
      </c>
      <c r="C8" s="184"/>
      <c r="D8" s="184"/>
      <c r="E8" s="184"/>
      <c r="H8" s="190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3.5" thickBot="1">
      <c r="A9" s="184"/>
      <c r="B9" s="255"/>
      <c r="C9" s="184"/>
      <c r="D9" s="184"/>
      <c r="E9" s="184"/>
      <c r="H9" s="190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3.5" thickBot="1">
      <c r="A10" s="184"/>
      <c r="B10" s="183" t="s">
        <v>446</v>
      </c>
      <c r="C10" s="257">
        <v>45</v>
      </c>
      <c r="D10" s="184"/>
      <c r="E10" s="184"/>
      <c r="H10" s="190"/>
      <c r="I10" s="184"/>
      <c r="J10" s="191"/>
      <c r="K10" s="184"/>
      <c r="L10" s="184"/>
      <c r="M10" s="184"/>
      <c r="N10" s="184"/>
      <c r="O10" s="184"/>
      <c r="P10" s="184"/>
      <c r="Q10" s="184"/>
    </row>
    <row r="11" spans="1:17" ht="12.75">
      <c r="A11" s="184"/>
      <c r="B11" s="255" t="s">
        <v>438</v>
      </c>
      <c r="C11" s="184"/>
      <c r="D11" s="184"/>
      <c r="E11" s="184"/>
      <c r="H11" s="192"/>
      <c r="I11" s="192"/>
      <c r="J11" s="184"/>
      <c r="K11" s="184"/>
      <c r="L11" s="184"/>
      <c r="M11" s="184"/>
      <c r="N11" s="184"/>
      <c r="O11" s="184"/>
      <c r="P11" s="184"/>
      <c r="Q11" s="184"/>
    </row>
    <row r="12" spans="1:17" ht="13.5" thickBot="1">
      <c r="A12" s="184"/>
      <c r="B12" s="184"/>
      <c r="C12" s="184"/>
      <c r="D12" s="184"/>
      <c r="E12" s="184"/>
      <c r="H12" s="192"/>
      <c r="I12" s="192"/>
      <c r="J12" s="184"/>
      <c r="K12" s="184"/>
      <c r="L12" s="184"/>
      <c r="M12" s="184"/>
      <c r="N12" s="184"/>
      <c r="O12" s="184"/>
      <c r="P12" s="184"/>
      <c r="Q12" s="184"/>
    </row>
    <row r="13" spans="1:17" ht="16.5" thickBot="1">
      <c r="A13" s="184"/>
      <c r="B13" s="183" t="s">
        <v>447</v>
      </c>
      <c r="C13" s="257">
        <v>365</v>
      </c>
      <c r="D13" s="184"/>
      <c r="E13" s="184"/>
      <c r="H13" s="192"/>
      <c r="I13" s="192"/>
      <c r="J13" s="184"/>
      <c r="K13" s="184"/>
      <c r="L13" s="184"/>
      <c r="M13" s="184"/>
      <c r="N13" s="184"/>
      <c r="O13" s="184"/>
      <c r="P13" s="184"/>
      <c r="Q13" s="184"/>
    </row>
    <row r="14" spans="1:17" ht="12.75">
      <c r="A14" s="184"/>
      <c r="B14" s="184" t="s">
        <v>439</v>
      </c>
      <c r="C14" s="184"/>
      <c r="D14" s="184"/>
      <c r="E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3.5" thickBot="1">
      <c r="A15" s="184"/>
      <c r="B15" s="184"/>
      <c r="C15" s="184"/>
      <c r="D15" s="184"/>
      <c r="E15" s="184"/>
      <c r="H15" s="19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6.5" thickBot="1">
      <c r="A16" s="184"/>
      <c r="B16" s="183" t="s">
        <v>448</v>
      </c>
      <c r="C16" s="256">
        <f>(C7*4187*C10*C13)/3600000</f>
        <v>764.1275</v>
      </c>
      <c r="D16" s="184" t="s">
        <v>440</v>
      </c>
      <c r="E16" s="184"/>
      <c r="H16" s="19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3.5" thickBot="1">
      <c r="A17" s="184"/>
      <c r="B17" s="184"/>
      <c r="C17" s="184"/>
      <c r="D17" s="184"/>
      <c r="E17" s="184"/>
      <c r="H17" s="19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6.5" thickBot="1">
      <c r="A18" s="184"/>
      <c r="B18" s="183" t="s">
        <v>449</v>
      </c>
      <c r="C18" s="257">
        <v>0.4</v>
      </c>
      <c r="D18" s="184"/>
      <c r="E18" s="184"/>
      <c r="H18" s="193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ht="12.75">
      <c r="A19" s="184"/>
      <c r="B19" s="184" t="s">
        <v>441</v>
      </c>
      <c r="C19" s="184"/>
      <c r="D19" s="184"/>
      <c r="E19" s="184"/>
      <c r="H19" s="195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3.5" thickBot="1">
      <c r="A20" s="184"/>
      <c r="B20" s="184"/>
      <c r="C20" s="184"/>
      <c r="D20" s="184"/>
      <c r="E20" s="184"/>
      <c r="H20" s="196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5" thickBot="1">
      <c r="A21" s="184"/>
      <c r="B21" s="183" t="s">
        <v>450</v>
      </c>
      <c r="C21" s="257">
        <v>0</v>
      </c>
      <c r="D21" s="259" t="s">
        <v>305</v>
      </c>
      <c r="E21" s="255"/>
      <c r="F21" s="176"/>
      <c r="G21" s="176"/>
      <c r="H21" s="255"/>
      <c r="I21" s="255"/>
      <c r="J21" s="184"/>
      <c r="K21" s="184"/>
      <c r="L21" s="184"/>
      <c r="M21" s="184"/>
      <c r="N21" s="184"/>
      <c r="O21" s="184"/>
      <c r="P21" s="184"/>
      <c r="Q21" s="184"/>
    </row>
    <row r="22" spans="1:17" ht="13.5" thickBot="1">
      <c r="A22" s="184"/>
      <c r="B22" s="184"/>
      <c r="C22" s="184"/>
      <c r="D22" s="184"/>
      <c r="E22" s="184"/>
      <c r="F22" s="12"/>
      <c r="G22" s="12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 thickBot="1">
      <c r="A23" s="184"/>
      <c r="B23" s="183" t="s">
        <v>451</v>
      </c>
      <c r="C23" s="257">
        <v>0</v>
      </c>
      <c r="D23" s="259" t="s">
        <v>306</v>
      </c>
      <c r="E23" s="255"/>
      <c r="F23" s="255"/>
      <c r="G23" s="255"/>
      <c r="H23" s="255"/>
      <c r="I23" s="255"/>
      <c r="J23" s="255"/>
      <c r="K23" s="255"/>
      <c r="L23" s="184"/>
      <c r="M23" s="184"/>
      <c r="N23" s="184"/>
      <c r="O23" s="184"/>
      <c r="P23" s="184"/>
      <c r="Q23" s="184"/>
    </row>
    <row r="24" spans="1:17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3.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6.5" thickBot="1">
      <c r="A26" s="184"/>
      <c r="B26" s="183" t="s">
        <v>452</v>
      </c>
      <c r="C26" s="256">
        <f>(C16/C18-C21-C23)/'FCIV.1d'!G5</f>
        <v>54.33216012514222</v>
      </c>
      <c r="D26" s="184" t="s">
        <v>442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2:17" ht="16.5" thickBot="1">
      <c r="B28" s="1" t="s">
        <v>453</v>
      </c>
      <c r="C28" s="160">
        <f>0.081*C7*C13/'FCIV.1d'!G5</f>
        <v>33.634812286689424</v>
      </c>
      <c r="D28" s="17" t="s">
        <v>443</v>
      </c>
      <c r="O28" s="184"/>
      <c r="P28" s="184"/>
      <c r="Q28" s="184"/>
    </row>
    <row r="31" spans="2:3" ht="12.75">
      <c r="B31" s="260" t="s">
        <v>454</v>
      </c>
      <c r="C31" t="str">
        <f>IF(C26&lt;=C28,"Verifica","Não verifica")</f>
        <v>Não verifica</v>
      </c>
    </row>
    <row r="33" ht="12.75">
      <c r="C33">
        <f>(C26/C28)*100</f>
        <v>161.5354938271605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7" t="s">
        <v>455</v>
      </c>
      <c r="B1" s="277"/>
      <c r="C1" s="277"/>
      <c r="D1" s="277"/>
      <c r="E1" s="277"/>
      <c r="F1" s="277"/>
    </row>
    <row r="3" ht="13.5" thickBot="1"/>
    <row r="4" spans="1:4" ht="14.25">
      <c r="A4" s="186" t="s">
        <v>456</v>
      </c>
      <c r="B4" s="261">
        <f>'FCIV.2'!I32</f>
        <v>68.77622204007776</v>
      </c>
      <c r="C4" s="187"/>
      <c r="D4" s="183"/>
    </row>
    <row r="5" spans="1:4" ht="14.25">
      <c r="A5" s="189" t="s">
        <v>457</v>
      </c>
      <c r="B5" s="262">
        <f>'FCIV.2'!I30</f>
        <v>119.00911694855195</v>
      </c>
      <c r="C5" s="184"/>
      <c r="D5" s="184"/>
    </row>
    <row r="6" spans="1:4" ht="14.25">
      <c r="A6" s="189" t="s">
        <v>458</v>
      </c>
      <c r="B6" s="262">
        <f>'FCV.1g'!H55</f>
        <v>32</v>
      </c>
      <c r="C6" s="184"/>
      <c r="D6" s="184"/>
    </row>
    <row r="7" spans="1:4" ht="14.25">
      <c r="A7" s="189" t="s">
        <v>459</v>
      </c>
      <c r="B7" s="262">
        <f>'FCV.1g'!H51</f>
        <v>9.594169864987999</v>
      </c>
      <c r="C7" s="184"/>
      <c r="D7" s="184"/>
    </row>
    <row r="8" spans="1:4" ht="12.75">
      <c r="A8" s="189" t="s">
        <v>460</v>
      </c>
      <c r="B8" s="262">
        <f>AQS!C28</f>
        <v>33.634812286689424</v>
      </c>
      <c r="C8" s="184"/>
      <c r="D8" s="184"/>
    </row>
    <row r="9" spans="1:4" ht="12.75">
      <c r="A9" s="189" t="s">
        <v>461</v>
      </c>
      <c r="B9" s="262">
        <f>AQS!C26</f>
        <v>54.33216012514222</v>
      </c>
      <c r="C9" s="184"/>
      <c r="D9" s="184"/>
    </row>
    <row r="10" spans="1:4" ht="18.75">
      <c r="A10" s="263" t="s">
        <v>463</v>
      </c>
      <c r="B10" s="275">
        <v>1</v>
      </c>
      <c r="C10" s="268" t="s">
        <v>467</v>
      </c>
      <c r="D10" s="184"/>
    </row>
    <row r="11" spans="1:4" ht="18.75">
      <c r="A11" s="263" t="s">
        <v>464</v>
      </c>
      <c r="B11" s="275">
        <v>3</v>
      </c>
      <c r="C11" s="268" t="s">
        <v>467</v>
      </c>
      <c r="D11" s="184"/>
    </row>
    <row r="12" spans="1:4" ht="15.75">
      <c r="A12" s="189" t="s">
        <v>465</v>
      </c>
      <c r="B12" s="276">
        <v>0.29</v>
      </c>
      <c r="C12" s="269" t="s">
        <v>468</v>
      </c>
      <c r="D12" s="192"/>
    </row>
    <row r="13" spans="1:4" ht="14.25">
      <c r="A13" s="189" t="s">
        <v>466</v>
      </c>
      <c r="B13" s="276">
        <v>0.29</v>
      </c>
      <c r="C13" s="269" t="s">
        <v>468</v>
      </c>
      <c r="D13" s="192"/>
    </row>
    <row r="14" spans="1:4" ht="16.5" thickBot="1">
      <c r="A14" s="197" t="s">
        <v>462</v>
      </c>
      <c r="B14" s="266">
        <v>0.086</v>
      </c>
      <c r="C14" s="269" t="s">
        <v>468</v>
      </c>
      <c r="D14" s="192"/>
    </row>
    <row r="15" spans="1:4" ht="12.75">
      <c r="A15" s="265"/>
      <c r="B15" s="264"/>
      <c r="C15" s="194"/>
      <c r="D15" s="184"/>
    </row>
    <row r="16" ht="13.5" thickBot="1"/>
    <row r="17" spans="3:6" ht="16.5" thickBot="1">
      <c r="C17" s="267" t="s">
        <v>472</v>
      </c>
      <c r="E17" s="160">
        <f>0.1*(B5/B10)*B12+0.1*(B7/B11)*B13+B9*B14</f>
        <v>8.216573804298454</v>
      </c>
      <c r="F17" s="17" t="s">
        <v>470</v>
      </c>
    </row>
    <row r="18" ht="13.5" thickBot="1"/>
    <row r="19" spans="3:6" ht="16.5" thickBot="1">
      <c r="C19" s="267" t="s">
        <v>471</v>
      </c>
      <c r="E19" s="160">
        <f>0.9*(0.01*B4+0.01*B6+0.15*B8)</f>
        <v>5.447685657063772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spans="5:6" ht="12.75">
      <c r="E23">
        <f>E17/E19</f>
        <v>1.5082687073995151</v>
      </c>
      <c r="F23" s="158" t="s">
        <v>528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3" t="s">
        <v>476</v>
      </c>
      <c r="B3" s="293"/>
      <c r="C3" s="293"/>
      <c r="D3" s="293"/>
      <c r="E3" s="293"/>
      <c r="F3" s="293"/>
      <c r="G3" s="293"/>
      <c r="H3" s="293"/>
    </row>
    <row r="4" spans="1:8" ht="12.75">
      <c r="A4" s="293" t="s">
        <v>307</v>
      </c>
      <c r="B4" s="293"/>
      <c r="C4" s="293"/>
      <c r="D4" s="293"/>
      <c r="E4" s="293"/>
      <c r="F4" s="293"/>
      <c r="G4" s="293"/>
      <c r="H4" s="293"/>
    </row>
    <row r="5" spans="1:8" ht="12.75">
      <c r="A5" s="293" t="s">
        <v>308</v>
      </c>
      <c r="B5" s="293"/>
      <c r="C5" s="293"/>
      <c r="D5" s="293"/>
      <c r="E5" s="293"/>
      <c r="F5" s="293"/>
      <c r="G5" s="293"/>
      <c r="H5" s="293"/>
    </row>
    <row r="6" spans="1:8" ht="12.75">
      <c r="A6" s="293" t="s">
        <v>309</v>
      </c>
      <c r="B6" s="293"/>
      <c r="C6" s="293"/>
      <c r="D6" s="293"/>
      <c r="E6" s="293"/>
      <c r="F6" s="293"/>
      <c r="G6" s="293"/>
      <c r="H6" s="293"/>
    </row>
    <row r="7" spans="1:8" ht="12.75">
      <c r="A7" s="293" t="s">
        <v>310</v>
      </c>
      <c r="B7" s="293"/>
      <c r="C7" s="293"/>
      <c r="D7" s="293"/>
      <c r="E7" s="293"/>
      <c r="F7" s="293"/>
      <c r="G7" s="293"/>
      <c r="H7" s="293"/>
    </row>
    <row r="8" spans="1:8" ht="12.75">
      <c r="A8" s="293" t="s">
        <v>311</v>
      </c>
      <c r="B8" s="293"/>
      <c r="C8" s="293"/>
      <c r="D8" s="293"/>
      <c r="E8" s="293"/>
      <c r="F8" s="293"/>
      <c r="G8" s="293"/>
      <c r="H8" s="293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3" t="s">
        <v>475</v>
      </c>
      <c r="B10" s="293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9" t="s">
        <v>477</v>
      </c>
      <c r="B14" s="289"/>
      <c r="C14" s="289"/>
      <c r="D14" s="289"/>
      <c r="E14" s="289"/>
    </row>
    <row r="15" ht="12.75">
      <c r="A15" s="99"/>
    </row>
    <row r="16" spans="1:5" ht="12.75">
      <c r="A16" s="289" t="s">
        <v>478</v>
      </c>
      <c r="B16" s="289"/>
      <c r="C16" s="289"/>
      <c r="D16" s="289"/>
      <c r="E16" s="289"/>
    </row>
    <row r="17" spans="1:2" ht="12.75">
      <c r="A17" s="100"/>
      <c r="B17" t="s">
        <v>313</v>
      </c>
    </row>
    <row r="18" spans="1:2" ht="12.75">
      <c r="A18" s="100"/>
      <c r="B18" t="s">
        <v>314</v>
      </c>
    </row>
    <row r="19" spans="1:2" ht="12.75">
      <c r="A19" s="100"/>
      <c r="B19" t="s">
        <v>473</v>
      </c>
    </row>
    <row r="20" ht="13.5" thickBot="1">
      <c r="A20" s="100"/>
    </row>
    <row r="21" spans="1:8" ht="12.75">
      <c r="A21" s="198"/>
      <c r="B21" s="32"/>
      <c r="C21" s="32"/>
      <c r="D21" s="32"/>
      <c r="E21" s="32"/>
      <c r="F21" s="32"/>
      <c r="G21" s="32"/>
      <c r="H21" s="33"/>
    </row>
    <row r="22" spans="1:8" ht="12.75">
      <c r="A22" s="325" t="s">
        <v>315</v>
      </c>
      <c r="B22" s="294"/>
      <c r="C22" s="294"/>
      <c r="D22" s="294"/>
      <c r="E22" s="294"/>
      <c r="F22" s="294"/>
      <c r="G22" s="294"/>
      <c r="H22" s="326"/>
    </row>
    <row r="23" spans="1:8" ht="12.75">
      <c r="A23" s="199"/>
      <c r="B23" s="105"/>
      <c r="C23" s="105"/>
      <c r="D23" s="105"/>
      <c r="E23" s="105"/>
      <c r="F23" s="105"/>
      <c r="G23" s="105"/>
      <c r="H23" s="134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0" t="s">
        <v>319</v>
      </c>
    </row>
    <row r="33" spans="1:8" ht="12.75">
      <c r="A33" s="201" t="s">
        <v>320</v>
      </c>
      <c r="B33" s="201"/>
      <c r="C33" s="201"/>
      <c r="D33" s="201"/>
      <c r="E33" s="201"/>
      <c r="F33" s="201"/>
      <c r="G33" s="201"/>
      <c r="H33" s="201"/>
    </row>
    <row r="34" spans="1:8" ht="12.75">
      <c r="A34" s="201" t="s">
        <v>321</v>
      </c>
      <c r="B34" s="201"/>
      <c r="C34" s="201"/>
      <c r="D34" s="201"/>
      <c r="E34" s="201"/>
      <c r="F34" s="201"/>
      <c r="G34" s="201"/>
      <c r="H34" s="201"/>
    </row>
    <row r="35" spans="1:8" ht="12.75">
      <c r="A35" s="201" t="s">
        <v>322</v>
      </c>
      <c r="B35" s="201"/>
      <c r="C35" s="201"/>
      <c r="D35" s="201"/>
      <c r="E35" s="201"/>
      <c r="F35" s="201"/>
      <c r="G35" s="201"/>
      <c r="H35" s="201"/>
    </row>
    <row r="36" spans="1:8" ht="12.75">
      <c r="A36" s="328" t="s">
        <v>480</v>
      </c>
      <c r="B36" s="289"/>
      <c r="C36" s="289"/>
      <c r="D36" s="289"/>
      <c r="E36" s="289"/>
      <c r="F36" s="289"/>
      <c r="G36" s="289"/>
      <c r="H36" s="289"/>
    </row>
    <row r="37" spans="1:8" ht="12.75">
      <c r="A37" s="327" t="s">
        <v>481</v>
      </c>
      <c r="B37" s="327"/>
      <c r="C37" s="327"/>
      <c r="D37" s="327"/>
      <c r="E37" s="327"/>
      <c r="F37" s="327"/>
      <c r="G37" s="327"/>
      <c r="H37" s="327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2"/>
    </row>
    <row r="2" spans="7:11" ht="12.75">
      <c r="G2" s="203"/>
      <c r="H2" s="35"/>
      <c r="I2" s="35"/>
      <c r="J2" s="35"/>
      <c r="K2" s="35"/>
    </row>
    <row r="3" spans="7:10" ht="12.75">
      <c r="G3" s="203"/>
      <c r="H3" s="203"/>
      <c r="I3" s="203"/>
      <c r="J3" s="203"/>
    </row>
    <row r="4" spans="7:10" ht="12.75">
      <c r="G4" s="203"/>
      <c r="H4" s="203"/>
      <c r="I4" s="203"/>
      <c r="J4" s="203"/>
    </row>
    <row r="5" spans="7:10" ht="12.75">
      <c r="G5" s="203"/>
      <c r="H5" s="35"/>
      <c r="I5" s="35"/>
      <c r="J5" s="35"/>
    </row>
    <row r="6" spans="7:10" ht="12.75">
      <c r="G6" s="203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7" t="s">
        <v>323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19"/>
      <c r="C11" s="119"/>
      <c r="D11" s="119"/>
      <c r="E11" s="119"/>
      <c r="F11" s="119"/>
      <c r="G11" s="119"/>
      <c r="H11" s="119"/>
      <c r="I11" s="119"/>
      <c r="J11" s="119"/>
      <c r="K11" s="204"/>
      <c r="M11" s="35"/>
      <c r="N11" s="35"/>
    </row>
    <row r="12" spans="1:14" ht="12.75">
      <c r="A12" s="338" t="s">
        <v>485</v>
      </c>
      <c r="B12" s="329"/>
      <c r="C12" s="254" t="s">
        <v>486</v>
      </c>
      <c r="D12" s="178"/>
      <c r="E12" s="254" t="s">
        <v>487</v>
      </c>
      <c r="F12" s="35"/>
      <c r="G12" s="35"/>
      <c r="H12" s="329" t="s">
        <v>490</v>
      </c>
      <c r="I12" s="329"/>
      <c r="J12" s="329"/>
      <c r="K12" s="77"/>
      <c r="M12" s="35"/>
      <c r="N12" s="203"/>
    </row>
    <row r="13" spans="1:14" ht="12.75">
      <c r="A13" s="338" t="s">
        <v>488</v>
      </c>
      <c r="B13" s="329"/>
      <c r="C13" s="339" t="s">
        <v>489</v>
      </c>
      <c r="D13" s="283"/>
      <c r="E13" s="329" t="s">
        <v>491</v>
      </c>
      <c r="F13" s="329"/>
      <c r="G13" s="329"/>
      <c r="H13" s="329" t="s">
        <v>492</v>
      </c>
      <c r="I13" s="329"/>
      <c r="J13" s="283"/>
      <c r="K13" s="77"/>
      <c r="M13" s="35"/>
      <c r="N13" s="203"/>
    </row>
    <row r="14" spans="1:14" ht="12.75">
      <c r="A14" s="4"/>
      <c r="B14" s="146"/>
      <c r="C14" s="146"/>
      <c r="D14" s="146"/>
      <c r="E14" s="146"/>
      <c r="F14" s="146"/>
      <c r="G14" s="146"/>
      <c r="H14" s="146"/>
      <c r="I14" s="146"/>
      <c r="J14" s="146"/>
      <c r="K14" s="148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2" t="s">
        <v>324</v>
      </c>
      <c r="B17" s="205" t="s">
        <v>325</v>
      </c>
      <c r="C17" s="205" t="s">
        <v>326</v>
      </c>
      <c r="D17" s="205" t="s">
        <v>327</v>
      </c>
      <c r="E17" s="205" t="s">
        <v>328</v>
      </c>
      <c r="F17" s="205" t="s">
        <v>329</v>
      </c>
      <c r="G17" s="205" t="s">
        <v>330</v>
      </c>
      <c r="H17" s="205" t="s">
        <v>303</v>
      </c>
      <c r="I17" s="205" t="s">
        <v>304</v>
      </c>
      <c r="J17" s="205" t="s">
        <v>331</v>
      </c>
      <c r="K17" s="205" t="s">
        <v>332</v>
      </c>
    </row>
    <row r="18" spans="1:11" ht="24" customHeight="1">
      <c r="A18" s="333"/>
      <c r="B18" s="335" t="s">
        <v>482</v>
      </c>
      <c r="C18" s="335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 ht="12.75">
      <c r="A19" s="334"/>
      <c r="B19" s="336"/>
      <c r="C19" s="337"/>
      <c r="D19" s="331"/>
      <c r="E19" s="331"/>
      <c r="F19" s="331"/>
      <c r="G19" s="331"/>
      <c r="H19" s="331"/>
      <c r="I19" s="331"/>
      <c r="J19" s="331"/>
      <c r="K19" s="331"/>
    </row>
    <row r="20" spans="1:11" ht="12.75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 ht="12.7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 ht="12.7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 ht="12.7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2.7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 ht="12.7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12.7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3" t="s">
        <v>334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2.75">
      <c r="A2" s="293" t="s">
        <v>335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293" t="s">
        <v>336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>
      <c r="A4" s="293" t="s">
        <v>337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408" t="s">
        <v>493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 ht="12.75">
      <c r="A6" s="409" t="s">
        <v>338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2.75">
      <c r="A7" s="293" t="s">
        <v>339</v>
      </c>
      <c r="B7" s="293"/>
      <c r="C7" s="293"/>
      <c r="D7" s="293"/>
      <c r="E7" s="293"/>
      <c r="F7" s="293"/>
      <c r="G7" s="293"/>
      <c r="H7" s="293"/>
      <c r="I7" s="293"/>
      <c r="J7" s="293"/>
    </row>
    <row r="10" spans="1:10" ht="12.75">
      <c r="A10" s="162" t="s">
        <v>340</v>
      </c>
      <c r="B10" s="289"/>
      <c r="C10" s="289"/>
      <c r="D10" s="289"/>
      <c r="E10" s="289"/>
      <c r="F10" s="289"/>
      <c r="G10" s="289"/>
      <c r="H10" s="289"/>
      <c r="I10" s="289"/>
      <c r="J10" s="289"/>
    </row>
    <row r="11" ht="13.5" thickBot="1"/>
    <row r="12" spans="1:10" ht="12.75">
      <c r="A12" s="400" t="s">
        <v>341</v>
      </c>
      <c r="B12" s="402" t="s">
        <v>496</v>
      </c>
      <c r="C12" s="402"/>
      <c r="D12" s="404"/>
      <c r="E12" s="406" t="s">
        <v>494</v>
      </c>
      <c r="F12" s="406"/>
      <c r="G12" s="406"/>
      <c r="H12" s="406"/>
      <c r="I12" s="392" t="s">
        <v>495</v>
      </c>
      <c r="J12" s="393"/>
    </row>
    <row r="13" spans="1:10" ht="13.5" thickBot="1">
      <c r="A13" s="401"/>
      <c r="B13" s="403"/>
      <c r="C13" s="403"/>
      <c r="D13" s="405"/>
      <c r="E13" s="407"/>
      <c r="F13" s="407"/>
      <c r="G13" s="407"/>
      <c r="H13" s="407"/>
      <c r="I13" s="394"/>
      <c r="J13" s="395"/>
    </row>
    <row r="15" ht="13.5" thickBot="1"/>
    <row r="16" spans="1:10" ht="13.5" thickBot="1">
      <c r="A16" s="396" t="s">
        <v>342</v>
      </c>
      <c r="B16" s="397"/>
      <c r="C16" s="398"/>
      <c r="D16" s="202"/>
      <c r="E16" s="35"/>
      <c r="F16" s="209"/>
      <c r="G16" s="209"/>
      <c r="H16" s="201"/>
      <c r="I16" s="201"/>
      <c r="J16" s="201"/>
    </row>
    <row r="17" spans="1:10" ht="12.75">
      <c r="A17" s="381" t="s">
        <v>343</v>
      </c>
      <c r="B17" s="211" t="s">
        <v>127</v>
      </c>
      <c r="C17" s="212" t="s">
        <v>4</v>
      </c>
      <c r="D17" s="202"/>
      <c r="E17" s="386" t="s">
        <v>344</v>
      </c>
      <c r="F17" s="387"/>
      <c r="G17" s="387"/>
      <c r="H17" s="387"/>
      <c r="I17" s="387"/>
      <c r="J17" s="388"/>
    </row>
    <row r="18" spans="1:10" ht="15">
      <c r="A18" s="381"/>
      <c r="B18" s="211" t="s">
        <v>499</v>
      </c>
      <c r="C18" s="212" t="s">
        <v>504</v>
      </c>
      <c r="D18" s="202"/>
      <c r="E18" s="34"/>
      <c r="F18" s="35"/>
      <c r="G18" s="389" t="s">
        <v>345</v>
      </c>
      <c r="H18" s="389"/>
      <c r="I18" s="399" t="s">
        <v>500</v>
      </c>
      <c r="J18" s="391"/>
    </row>
    <row r="19" spans="1:10" ht="12.75">
      <c r="A19" s="213" t="s">
        <v>346</v>
      </c>
      <c r="B19" s="203"/>
      <c r="C19" s="214"/>
      <c r="D19" s="201"/>
      <c r="E19" s="381" t="s">
        <v>343</v>
      </c>
      <c r="F19" s="382"/>
      <c r="G19" s="201"/>
      <c r="H19" s="201"/>
      <c r="I19" s="201"/>
      <c r="J19" s="201"/>
    </row>
    <row r="20" spans="1:10" ht="12.75">
      <c r="A20" s="213"/>
      <c r="B20" s="203"/>
      <c r="C20" s="214"/>
      <c r="D20" s="201"/>
      <c r="E20" s="381"/>
      <c r="F20" s="382"/>
      <c r="G20" s="372"/>
      <c r="H20" s="372"/>
      <c r="I20" s="372"/>
      <c r="J20" s="373"/>
    </row>
    <row r="21" spans="1:10" ht="12.75">
      <c r="A21" s="213" t="s">
        <v>347</v>
      </c>
      <c r="B21" s="203"/>
      <c r="C21" s="214"/>
      <c r="D21" s="201"/>
      <c r="E21" s="210"/>
      <c r="F21" s="215"/>
      <c r="G21" s="203"/>
      <c r="H21" s="203"/>
      <c r="I21" s="203"/>
      <c r="J21" s="214"/>
    </row>
    <row r="22" spans="1:10" ht="12.75">
      <c r="A22" s="213"/>
      <c r="B22" s="203"/>
      <c r="C22" s="214"/>
      <c r="D22" s="201"/>
      <c r="E22" s="216"/>
      <c r="F22" s="217"/>
      <c r="G22" s="203"/>
      <c r="H22" s="203"/>
      <c r="I22" s="203"/>
      <c r="J22" s="214"/>
    </row>
    <row r="23" spans="1:10" ht="12.75">
      <c r="A23" s="218" t="s">
        <v>348</v>
      </c>
      <c r="B23" s="203"/>
      <c r="C23" s="214"/>
      <c r="D23" s="201"/>
      <c r="E23" s="381" t="s">
        <v>349</v>
      </c>
      <c r="F23" s="382"/>
      <c r="G23" s="372"/>
      <c r="H23" s="372"/>
      <c r="I23" s="372"/>
      <c r="J23" s="373"/>
    </row>
    <row r="24" spans="1:10" ht="12.75">
      <c r="A24" s="218"/>
      <c r="B24" s="203"/>
      <c r="C24" s="214"/>
      <c r="D24" s="201"/>
      <c r="E24" s="34"/>
      <c r="F24" s="203"/>
      <c r="G24" s="203"/>
      <c r="H24" s="203"/>
      <c r="I24" s="203"/>
      <c r="J24" s="214"/>
    </row>
    <row r="25" spans="1:10" ht="13.5" thickBot="1">
      <c r="A25" s="219" t="s">
        <v>349</v>
      </c>
      <c r="B25" s="203"/>
      <c r="C25" s="214"/>
      <c r="D25" s="201"/>
      <c r="E25" s="220"/>
      <c r="F25" s="221"/>
      <c r="G25" s="221"/>
      <c r="H25" s="221"/>
      <c r="I25" s="221"/>
      <c r="J25" s="222"/>
    </row>
    <row r="26" spans="1:10" ht="13.5" thickBot="1">
      <c r="A26" s="213" t="s">
        <v>350</v>
      </c>
      <c r="B26" s="203"/>
      <c r="C26" s="214"/>
      <c r="D26" s="201"/>
      <c r="E26" s="223"/>
      <c r="F26" s="223"/>
      <c r="G26" s="223"/>
      <c r="H26" s="223"/>
      <c r="I26" s="223"/>
      <c r="J26" s="223"/>
    </row>
    <row r="27" spans="1:10" ht="12.75">
      <c r="A27" s="213" t="s">
        <v>351</v>
      </c>
      <c r="B27" s="203"/>
      <c r="C27" s="214"/>
      <c r="D27" s="201"/>
      <c r="E27" s="386" t="s">
        <v>352</v>
      </c>
      <c r="F27" s="387"/>
      <c r="G27" s="387"/>
      <c r="H27" s="387"/>
      <c r="I27" s="387"/>
      <c r="J27" s="388"/>
    </row>
    <row r="28" spans="1:10" ht="15">
      <c r="A28" s="219" t="s">
        <v>353</v>
      </c>
      <c r="B28" s="203"/>
      <c r="C28" s="214"/>
      <c r="D28" s="201"/>
      <c r="E28" s="224"/>
      <c r="F28" s="225"/>
      <c r="G28" s="389" t="s">
        <v>345</v>
      </c>
      <c r="H28" s="389"/>
      <c r="I28" s="390" t="s">
        <v>501</v>
      </c>
      <c r="J28" s="391"/>
    </row>
    <row r="29" spans="1:10" ht="12.75">
      <c r="A29" s="219" t="s">
        <v>354</v>
      </c>
      <c r="B29" s="203"/>
      <c r="C29" s="214"/>
      <c r="D29" s="201"/>
      <c r="E29" s="381" t="s">
        <v>355</v>
      </c>
      <c r="F29" s="382"/>
      <c r="G29" s="226"/>
      <c r="H29" s="203"/>
      <c r="I29" s="203"/>
      <c r="J29" s="214"/>
    </row>
    <row r="30" spans="1:10" ht="15">
      <c r="A30" s="218" t="s">
        <v>348</v>
      </c>
      <c r="B30" s="203"/>
      <c r="C30" s="214"/>
      <c r="D30" s="201"/>
      <c r="E30" s="381" t="s">
        <v>356</v>
      </c>
      <c r="F30" s="382"/>
      <c r="G30" s="227"/>
      <c r="H30" s="203"/>
      <c r="I30" s="203"/>
      <c r="J30" s="214"/>
    </row>
    <row r="31" spans="1:10" ht="12.75">
      <c r="A31" s="219" t="s">
        <v>357</v>
      </c>
      <c r="B31" s="203"/>
      <c r="C31" s="214"/>
      <c r="D31" s="201"/>
      <c r="E31" s="376" t="s">
        <v>358</v>
      </c>
      <c r="F31" s="377"/>
      <c r="G31" s="372"/>
      <c r="H31" s="372"/>
      <c r="I31" s="372"/>
      <c r="J31" s="373"/>
    </row>
    <row r="32" spans="1:10" ht="12.75">
      <c r="A32" s="213" t="s">
        <v>359</v>
      </c>
      <c r="B32" s="203"/>
      <c r="C32" s="214"/>
      <c r="D32" s="201"/>
      <c r="E32" s="376" t="s">
        <v>360</v>
      </c>
      <c r="F32" s="377"/>
      <c r="G32" s="372"/>
      <c r="H32" s="372"/>
      <c r="I32" s="372"/>
      <c r="J32" s="373"/>
    </row>
    <row r="33" spans="1:10" ht="12.75">
      <c r="A33" s="213" t="s">
        <v>361</v>
      </c>
      <c r="B33" s="203"/>
      <c r="C33" s="214"/>
      <c r="D33" s="201"/>
      <c r="E33" s="383" t="s">
        <v>362</v>
      </c>
      <c r="F33" s="384"/>
      <c r="G33" s="203"/>
      <c r="H33" s="203"/>
      <c r="I33" s="203"/>
      <c r="J33" s="214"/>
    </row>
    <row r="34" spans="1:10" ht="12.75">
      <c r="A34" s="228" t="s">
        <v>363</v>
      </c>
      <c r="B34" s="203"/>
      <c r="C34" s="214"/>
      <c r="D34" s="201"/>
      <c r="E34" s="385"/>
      <c r="F34" s="384"/>
      <c r="G34" s="203"/>
      <c r="H34" s="203"/>
      <c r="I34" s="203"/>
      <c r="J34" s="214"/>
    </row>
    <row r="35" spans="1:10" ht="12.75">
      <c r="A35" s="228" t="s">
        <v>364</v>
      </c>
      <c r="B35" s="203"/>
      <c r="C35" s="214"/>
      <c r="D35" s="201"/>
      <c r="E35" s="229"/>
      <c r="F35" s="230"/>
      <c r="G35" s="203"/>
      <c r="H35" s="203"/>
      <c r="I35" s="203"/>
      <c r="J35" s="214"/>
    </row>
    <row r="36" spans="1:10" ht="12.75">
      <c r="A36" s="213" t="s">
        <v>365</v>
      </c>
      <c r="B36" s="203"/>
      <c r="C36" s="214"/>
      <c r="D36" s="201"/>
      <c r="E36" s="381" t="s">
        <v>355</v>
      </c>
      <c r="F36" s="382"/>
      <c r="G36" s="203"/>
      <c r="H36" s="203"/>
      <c r="I36" s="203"/>
      <c r="J36" s="214"/>
    </row>
    <row r="37" spans="1:10" ht="12.75">
      <c r="A37" s="213" t="s">
        <v>366</v>
      </c>
      <c r="B37" s="35"/>
      <c r="C37" s="37"/>
      <c r="E37" s="376" t="s">
        <v>367</v>
      </c>
      <c r="F37" s="377"/>
      <c r="G37" s="372"/>
      <c r="H37" s="372"/>
      <c r="I37" s="372"/>
      <c r="J37" s="373"/>
    </row>
    <row r="38" spans="1:10" ht="12.75">
      <c r="A38" s="218" t="s">
        <v>348</v>
      </c>
      <c r="B38" s="35"/>
      <c r="C38" s="231"/>
      <c r="E38" s="376" t="s">
        <v>368</v>
      </c>
      <c r="F38" s="377"/>
      <c r="G38" s="372"/>
      <c r="H38" s="372"/>
      <c r="I38" s="372"/>
      <c r="J38" s="373"/>
    </row>
    <row r="39" spans="1:10" ht="13.5" thickBot="1">
      <c r="A39" s="232"/>
      <c r="B39" s="40"/>
      <c r="C39" s="42"/>
      <c r="E39" s="376" t="s">
        <v>369</v>
      </c>
      <c r="F39" s="377"/>
      <c r="G39" s="372"/>
      <c r="H39" s="372"/>
      <c r="I39" s="372"/>
      <c r="J39" s="373"/>
    </row>
    <row r="40" spans="1:10" ht="13.5" thickBot="1">
      <c r="A40" s="201"/>
      <c r="E40" s="376" t="s">
        <v>370</v>
      </c>
      <c r="F40" s="377"/>
      <c r="G40" s="372"/>
      <c r="H40" s="372"/>
      <c r="I40" s="372"/>
      <c r="J40" s="373"/>
    </row>
    <row r="41" spans="1:10" ht="12.75">
      <c r="A41" s="378" t="s">
        <v>371</v>
      </c>
      <c r="B41" s="379"/>
      <c r="C41" s="380"/>
      <c r="E41" s="228"/>
      <c r="F41" s="35"/>
      <c r="G41" s="35"/>
      <c r="H41" s="35"/>
      <c r="I41" s="35"/>
      <c r="J41" s="37"/>
    </row>
    <row r="42" spans="1:10" ht="12.75">
      <c r="A42" s="233" t="s">
        <v>372</v>
      </c>
      <c r="B42" s="366" t="s">
        <v>373</v>
      </c>
      <c r="C42" s="367"/>
      <c r="E42" s="368" t="s">
        <v>374</v>
      </c>
      <c r="F42" s="369"/>
      <c r="G42" s="372"/>
      <c r="H42" s="372"/>
      <c r="I42" s="372"/>
      <c r="J42" s="373"/>
    </row>
    <row r="43" spans="1:10" ht="13.5" thickBot="1">
      <c r="A43" s="234"/>
      <c r="B43" s="374"/>
      <c r="C43" s="375"/>
      <c r="E43" s="370"/>
      <c r="F43" s="371"/>
      <c r="G43" s="40"/>
      <c r="H43" s="40"/>
      <c r="I43" s="40"/>
      <c r="J43" s="42"/>
    </row>
    <row r="44" ht="13.5" thickBot="1"/>
    <row r="45" spans="1:10" ht="12.75">
      <c r="A45" s="346" t="s">
        <v>375</v>
      </c>
      <c r="B45" s="363" t="s">
        <v>498</v>
      </c>
      <c r="C45" s="364"/>
      <c r="D45" s="364"/>
      <c r="E45" s="364"/>
      <c r="F45" s="364"/>
      <c r="G45" s="364"/>
      <c r="H45" s="364"/>
      <c r="I45" s="364"/>
      <c r="J45" s="365"/>
    </row>
    <row r="46" spans="1:10" ht="12.75">
      <c r="A46" s="361"/>
      <c r="B46" s="355" t="s">
        <v>376</v>
      </c>
      <c r="C46" s="340" t="s">
        <v>377</v>
      </c>
      <c r="D46" s="340" t="s">
        <v>378</v>
      </c>
      <c r="E46" s="340" t="s">
        <v>379</v>
      </c>
      <c r="F46" s="340" t="s">
        <v>380</v>
      </c>
      <c r="G46" s="340" t="s">
        <v>381</v>
      </c>
      <c r="H46" s="340" t="s">
        <v>382</v>
      </c>
      <c r="I46" s="340" t="s">
        <v>383</v>
      </c>
      <c r="J46" s="343" t="s">
        <v>384</v>
      </c>
    </row>
    <row r="47" spans="1:10" ht="13.5" thickBot="1">
      <c r="A47" s="362"/>
      <c r="B47" s="357"/>
      <c r="C47" s="342"/>
      <c r="D47" s="342"/>
      <c r="E47" s="342"/>
      <c r="F47" s="342"/>
      <c r="G47" s="342"/>
      <c r="H47" s="342"/>
      <c r="I47" s="342"/>
      <c r="J47" s="358"/>
    </row>
    <row r="48" spans="1:10" ht="12.75">
      <c r="A48" s="359"/>
      <c r="B48" s="355"/>
      <c r="C48" s="340"/>
      <c r="D48" s="340"/>
      <c r="E48" s="340"/>
      <c r="F48" s="340"/>
      <c r="G48" s="340"/>
      <c r="H48" s="340"/>
      <c r="I48" s="340"/>
      <c r="J48" s="343"/>
    </row>
    <row r="49" spans="1:10" ht="12.75">
      <c r="A49" s="360"/>
      <c r="B49" s="357"/>
      <c r="C49" s="342"/>
      <c r="D49" s="342"/>
      <c r="E49" s="342"/>
      <c r="F49" s="342"/>
      <c r="G49" s="342"/>
      <c r="H49" s="342"/>
      <c r="I49" s="342"/>
      <c r="J49" s="348"/>
    </row>
    <row r="50" spans="1:10" ht="12.75">
      <c r="A50" s="237"/>
      <c r="B50" s="238"/>
      <c r="C50" s="8"/>
      <c r="D50" s="235"/>
      <c r="E50" s="8"/>
      <c r="F50" s="8"/>
      <c r="G50" s="8"/>
      <c r="H50" s="8"/>
      <c r="I50" s="8"/>
      <c r="J50" s="236"/>
    </row>
    <row r="51" spans="1:10" ht="13.5" thickBot="1">
      <c r="A51" s="237"/>
      <c r="B51" s="238"/>
      <c r="C51" s="8"/>
      <c r="D51" s="8"/>
      <c r="E51" s="8"/>
      <c r="F51" s="8"/>
      <c r="G51" s="8"/>
      <c r="H51" s="8"/>
      <c r="I51" s="8"/>
      <c r="J51" s="239"/>
    </row>
    <row r="52" spans="1:10" ht="12.75">
      <c r="A52" s="349" t="s">
        <v>497</v>
      </c>
      <c r="B52" s="240"/>
      <c r="C52" s="241"/>
      <c r="D52" s="241"/>
      <c r="E52" s="241"/>
      <c r="F52" s="241"/>
      <c r="G52" s="241"/>
      <c r="H52" s="241"/>
      <c r="I52" s="241"/>
      <c r="J52" s="242"/>
    </row>
    <row r="53" spans="1:10" ht="12.75">
      <c r="A53" s="350"/>
      <c r="B53" s="243"/>
      <c r="C53" s="244"/>
      <c r="D53" s="244"/>
      <c r="E53" s="244"/>
      <c r="F53" s="244"/>
      <c r="G53" s="244"/>
      <c r="H53" s="244"/>
      <c r="I53" s="244"/>
      <c r="J53" s="245"/>
    </row>
    <row r="54" spans="1:10" ht="12.75">
      <c r="A54" s="351"/>
      <c r="B54" s="246"/>
      <c r="C54" s="13"/>
      <c r="D54" s="13"/>
      <c r="E54" s="13"/>
      <c r="F54" s="13"/>
      <c r="G54" s="13"/>
      <c r="H54" s="13"/>
      <c r="I54" s="13"/>
      <c r="J54" s="236"/>
    </row>
    <row r="55" spans="1:10" ht="12.75">
      <c r="A55" s="352"/>
      <c r="B55" s="355"/>
      <c r="C55" s="340"/>
      <c r="D55" s="340"/>
      <c r="E55" s="340"/>
      <c r="F55" s="340"/>
      <c r="G55" s="340"/>
      <c r="H55" s="340"/>
      <c r="I55" s="340"/>
      <c r="J55" s="343"/>
    </row>
    <row r="56" spans="1:10" ht="12.75">
      <c r="A56" s="353"/>
      <c r="B56" s="356"/>
      <c r="C56" s="341"/>
      <c r="D56" s="341"/>
      <c r="E56" s="341"/>
      <c r="F56" s="341"/>
      <c r="G56" s="341"/>
      <c r="H56" s="341"/>
      <c r="I56" s="341"/>
      <c r="J56" s="344"/>
    </row>
    <row r="57" spans="1:10" ht="13.5" thickBot="1">
      <c r="A57" s="354"/>
      <c r="B57" s="357"/>
      <c r="C57" s="342"/>
      <c r="D57" s="342"/>
      <c r="E57" s="342"/>
      <c r="F57" s="342"/>
      <c r="G57" s="342"/>
      <c r="H57" s="342"/>
      <c r="I57" s="342"/>
      <c r="J57" s="345"/>
    </row>
    <row r="58" spans="1:10" ht="12.75">
      <c r="A58" s="346" t="s">
        <v>502</v>
      </c>
      <c r="B58" s="319"/>
      <c r="C58" s="319"/>
      <c r="D58" s="319"/>
      <c r="E58" s="319"/>
      <c r="F58" s="319"/>
      <c r="G58" s="319"/>
      <c r="H58" s="319"/>
      <c r="I58" s="319"/>
      <c r="J58" s="320"/>
    </row>
    <row r="59" spans="1:10" ht="13.5" thickBot="1">
      <c r="A59" s="347"/>
      <c r="B59" s="306"/>
      <c r="C59" s="306"/>
      <c r="D59" s="306"/>
      <c r="E59" s="306"/>
      <c r="F59" s="306"/>
      <c r="G59" s="306"/>
      <c r="H59" s="306"/>
      <c r="I59" s="306"/>
      <c r="J59" s="307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3" t="s">
        <v>385</v>
      </c>
      <c r="B3" s="293"/>
      <c r="C3" s="293"/>
      <c r="D3" s="293"/>
      <c r="E3" s="293"/>
      <c r="F3" s="293"/>
      <c r="G3" s="293"/>
      <c r="H3" s="293"/>
      <c r="I3" s="293"/>
      <c r="J3" s="100"/>
    </row>
    <row r="4" spans="1:10" ht="12.75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17"/>
    </row>
    <row r="5" spans="1:10" ht="12.75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17"/>
    </row>
    <row r="6" spans="1:10" ht="12.75">
      <c r="A6" s="293" t="s">
        <v>386</v>
      </c>
      <c r="B6" s="293"/>
      <c r="C6" s="293"/>
      <c r="D6" s="293"/>
      <c r="E6" s="293"/>
      <c r="F6" s="293"/>
      <c r="G6" s="293"/>
      <c r="H6" s="293"/>
      <c r="I6" s="293"/>
      <c r="J6" s="100"/>
    </row>
    <row r="7" spans="1:10" ht="12.75">
      <c r="A7" s="293" t="s">
        <v>387</v>
      </c>
      <c r="B7" s="293"/>
      <c r="C7" s="293"/>
      <c r="D7" s="293"/>
      <c r="E7" s="293"/>
      <c r="F7" s="293"/>
      <c r="G7" s="293"/>
      <c r="H7" s="293"/>
      <c r="I7" s="293"/>
      <c r="J7" s="17"/>
    </row>
    <row r="8" spans="1:10" ht="12.75">
      <c r="A8" s="293" t="s">
        <v>388</v>
      </c>
      <c r="B8" s="293"/>
      <c r="C8" s="293"/>
      <c r="D8" s="293"/>
      <c r="E8" s="293"/>
      <c r="F8" s="293"/>
      <c r="G8" s="293"/>
      <c r="H8" s="293"/>
      <c r="I8" s="293"/>
      <c r="J8" s="17"/>
    </row>
    <row r="11" spans="1:2" ht="12.75">
      <c r="A11" s="289" t="s">
        <v>389</v>
      </c>
      <c r="B11" s="289"/>
    </row>
    <row r="12" spans="1:2" ht="12.75">
      <c r="A12" s="289" t="s">
        <v>390</v>
      </c>
      <c r="B12" s="289"/>
    </row>
    <row r="13" spans="1:2" ht="12.75">
      <c r="A13" s="289" t="s">
        <v>391</v>
      </c>
      <c r="B13" s="289"/>
    </row>
    <row r="15" ht="12.75">
      <c r="A15" t="s">
        <v>392</v>
      </c>
    </row>
    <row r="16" spans="1:6" ht="12.75">
      <c r="A16" s="247"/>
      <c r="B16" s="248"/>
      <c r="C16" s="289" t="s">
        <v>393</v>
      </c>
      <c r="D16" s="289"/>
      <c r="E16" s="146"/>
      <c r="F16" s="202" t="s">
        <v>503</v>
      </c>
    </row>
    <row r="17" spans="1:6" ht="12.75">
      <c r="A17" s="247"/>
      <c r="B17" s="249"/>
      <c r="C17" s="289" t="s">
        <v>394</v>
      </c>
      <c r="D17" s="289"/>
      <c r="E17" s="250"/>
      <c r="F17" s="202" t="s">
        <v>503</v>
      </c>
    </row>
    <row r="18" spans="1:6" ht="12.75">
      <c r="A18" t="s">
        <v>395</v>
      </c>
      <c r="B18" s="251"/>
      <c r="C18" s="289" t="s">
        <v>396</v>
      </c>
      <c r="D18" s="289"/>
      <c r="E18" s="250"/>
      <c r="F18" s="202" t="s">
        <v>503</v>
      </c>
    </row>
    <row r="19" spans="1:6" ht="12.75">
      <c r="A19" t="s">
        <v>395</v>
      </c>
      <c r="B19" s="251"/>
      <c r="C19" s="289" t="s">
        <v>185</v>
      </c>
      <c r="D19" s="289"/>
      <c r="E19" s="250"/>
      <c r="F19" s="202" t="s">
        <v>503</v>
      </c>
    </row>
    <row r="20" spans="1:6" ht="12.75">
      <c r="A20" t="s">
        <v>395</v>
      </c>
      <c r="B20" s="251"/>
      <c r="C20" s="289" t="s">
        <v>397</v>
      </c>
      <c r="D20" s="289"/>
      <c r="E20" s="250"/>
      <c r="F20" s="202" t="s">
        <v>503</v>
      </c>
    </row>
    <row r="21" spans="1:6" ht="12.75">
      <c r="A21" t="s">
        <v>398</v>
      </c>
      <c r="B21" s="251"/>
      <c r="C21" s="289" t="s">
        <v>399</v>
      </c>
      <c r="D21" s="289"/>
      <c r="E21" s="250"/>
      <c r="F21" s="202" t="s">
        <v>503</v>
      </c>
    </row>
    <row r="22" spans="2:6" ht="12.75">
      <c r="B22" s="251"/>
      <c r="C22" s="289" t="s">
        <v>400</v>
      </c>
      <c r="D22" s="289"/>
      <c r="E22" s="250"/>
      <c r="F22" s="202" t="s">
        <v>503</v>
      </c>
    </row>
    <row r="24" spans="1:9" ht="12.75">
      <c r="A24" t="s">
        <v>401</v>
      </c>
      <c r="F24" s="410" t="s">
        <v>402</v>
      </c>
      <c r="G24" s="410"/>
      <c r="H24" s="410"/>
      <c r="I24" s="410"/>
    </row>
    <row r="25" ht="12.75">
      <c r="A25" t="s">
        <v>403</v>
      </c>
    </row>
    <row r="27" spans="1:6" ht="12.75">
      <c r="A27" t="s">
        <v>404</v>
      </c>
      <c r="D27" s="248"/>
      <c r="F27" s="248"/>
    </row>
    <row r="28" spans="1:6" ht="12.75">
      <c r="A28" t="s">
        <v>404</v>
      </c>
      <c r="D28" s="250"/>
      <c r="F28" s="250"/>
    </row>
    <row r="29" spans="1:6" ht="12.75">
      <c r="A29" t="s">
        <v>404</v>
      </c>
      <c r="D29" s="250"/>
      <c r="F29" s="250"/>
    </row>
    <row r="32" spans="1:9" ht="12.75">
      <c r="A32" t="s">
        <v>405</v>
      </c>
      <c r="F32" s="410" t="s">
        <v>406</v>
      </c>
      <c r="G32" s="410"/>
      <c r="H32" s="410"/>
      <c r="I32" s="410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0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6"/>
      <c r="C56" s="146"/>
      <c r="D56" s="146"/>
      <c r="E56" s="146"/>
      <c r="F56" s="146"/>
      <c r="G56" s="146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">
      <selection activeCell="L22" sqref="L22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7" t="s">
        <v>32</v>
      </c>
      <c r="B1" s="277"/>
      <c r="C1" s="277"/>
      <c r="D1" s="277"/>
      <c r="E1" s="277"/>
      <c r="F1" s="277"/>
      <c r="G1" s="277"/>
    </row>
    <row r="2" spans="1:7" ht="12.75">
      <c r="A2" s="277" t="s">
        <v>33</v>
      </c>
      <c r="B2" s="277"/>
      <c r="C2" s="277"/>
      <c r="D2" s="277"/>
      <c r="E2" s="277"/>
      <c r="F2" s="277"/>
      <c r="G2" s="277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515</v>
      </c>
      <c r="C8" s="6">
        <v>9.44</v>
      </c>
      <c r="D8" s="6">
        <v>2.22</v>
      </c>
      <c r="E8" s="6">
        <v>0.6</v>
      </c>
      <c r="F8" s="22">
        <f>C8*D8*E8</f>
        <v>12.57408</v>
      </c>
    </row>
    <row r="9" spans="2:6" ht="12.75">
      <c r="B9" s="6" t="s">
        <v>516</v>
      </c>
      <c r="C9" s="6">
        <v>8.6</v>
      </c>
      <c r="D9" s="6">
        <v>1.92</v>
      </c>
      <c r="E9" s="6">
        <v>0.6</v>
      </c>
      <c r="F9" s="22">
        <f aca="true" t="shared" si="0" ref="F9:F14">C9*D9*E9</f>
        <v>9.9072</v>
      </c>
    </row>
    <row r="10" spans="2:6" ht="12.75">
      <c r="B10" s="6"/>
      <c r="C10" s="6"/>
      <c r="D10" s="6"/>
      <c r="E10" s="6"/>
      <c r="F10" s="22">
        <f t="shared" si="0"/>
        <v>0</v>
      </c>
    </row>
    <row r="11" spans="2:6" ht="12.75">
      <c r="B11" s="6"/>
      <c r="C11" s="6"/>
      <c r="D11" s="6"/>
      <c r="E11" s="6"/>
      <c r="F11" s="22">
        <f t="shared" si="0"/>
        <v>0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22.481279999999998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517</v>
      </c>
      <c r="C26" s="6">
        <v>19.69</v>
      </c>
      <c r="D26" s="6">
        <v>1.58</v>
      </c>
      <c r="E26" s="6">
        <v>0.8</v>
      </c>
      <c r="F26" s="22">
        <f>C26*D26*E26</f>
        <v>24.888160000000003</v>
      </c>
    </row>
    <row r="27" spans="2:6" ht="12.75">
      <c r="B27" s="6" t="s">
        <v>518</v>
      </c>
      <c r="C27" s="6">
        <v>15.47</v>
      </c>
      <c r="D27" s="6">
        <v>1.73</v>
      </c>
      <c r="E27" s="6">
        <v>1</v>
      </c>
      <c r="F27" s="22">
        <f>C27*D27*E27</f>
        <v>26.7631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51.65126000000001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74.13254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3" t="s">
        <v>419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293" t="s">
        <v>420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>
      <c r="A7" s="293" t="s">
        <v>421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>
      <c r="A8" s="293" t="s">
        <v>422</v>
      </c>
      <c r="B8" s="293"/>
      <c r="C8" s="293"/>
      <c r="D8" s="293"/>
      <c r="E8" s="293"/>
      <c r="F8" s="293"/>
      <c r="G8" s="293"/>
      <c r="H8" s="293"/>
      <c r="I8" s="293"/>
      <c r="J8" s="293"/>
    </row>
    <row r="11" spans="1:10" ht="12.75">
      <c r="A11" s="411" t="s">
        <v>423</v>
      </c>
      <c r="B11" s="412"/>
      <c r="C11" s="412"/>
      <c r="D11" s="412"/>
      <c r="E11" s="412"/>
      <c r="F11" s="412"/>
      <c r="G11" s="412"/>
      <c r="H11" s="412"/>
      <c r="I11" s="412"/>
      <c r="J11" s="413"/>
    </row>
    <row r="12" spans="1:10" ht="12.75">
      <c r="A12" s="141"/>
      <c r="B12" s="35"/>
      <c r="C12" s="35"/>
      <c r="D12" s="35"/>
      <c r="E12" s="35"/>
      <c r="F12" s="35"/>
      <c r="G12" s="35"/>
      <c r="H12" s="35"/>
      <c r="I12" s="35"/>
      <c r="J12" s="143"/>
    </row>
    <row r="13" spans="1:10" ht="12.75">
      <c r="A13" s="252" t="s">
        <v>424</v>
      </c>
      <c r="B13" s="35"/>
      <c r="C13" s="35"/>
      <c r="D13" s="35"/>
      <c r="E13" s="35"/>
      <c r="F13" s="35"/>
      <c r="G13" s="35"/>
      <c r="H13" s="35"/>
      <c r="I13" s="35"/>
      <c r="J13" s="143"/>
    </row>
    <row r="14" spans="1:10" ht="12.75">
      <c r="A14" s="141"/>
      <c r="B14" s="35"/>
      <c r="C14" s="35"/>
      <c r="D14" s="35"/>
      <c r="E14" s="35"/>
      <c r="F14" s="35"/>
      <c r="G14" s="35"/>
      <c r="H14" s="35"/>
      <c r="I14" s="35"/>
      <c r="J14" s="143"/>
    </row>
    <row r="15" spans="1:10" ht="12.75">
      <c r="A15" s="141" t="s">
        <v>425</v>
      </c>
      <c r="B15" s="35"/>
      <c r="C15" s="35"/>
      <c r="D15" s="35"/>
      <c r="E15" s="35"/>
      <c r="F15" s="35"/>
      <c r="G15" s="35"/>
      <c r="H15" s="35"/>
      <c r="I15" s="35"/>
      <c r="J15" s="143"/>
    </row>
    <row r="16" spans="1:10" ht="12.75">
      <c r="A16" s="141" t="s">
        <v>426</v>
      </c>
      <c r="B16" s="35"/>
      <c r="C16" s="35"/>
      <c r="D16" s="35"/>
      <c r="E16" s="35"/>
      <c r="F16" s="35"/>
      <c r="G16" s="35"/>
      <c r="H16" s="35"/>
      <c r="I16" s="35"/>
      <c r="J16" s="143"/>
    </row>
    <row r="17" spans="1:10" ht="12.75">
      <c r="A17" s="141"/>
      <c r="B17" s="35" t="s">
        <v>427</v>
      </c>
      <c r="C17" s="35"/>
      <c r="D17" s="35"/>
      <c r="E17" s="35"/>
      <c r="F17" s="35"/>
      <c r="G17" s="35"/>
      <c r="H17" s="35"/>
      <c r="I17" s="35"/>
      <c r="J17" s="143"/>
    </row>
    <row r="18" spans="1:10" ht="12.75">
      <c r="A18" s="141"/>
      <c r="B18" s="35"/>
      <c r="C18" s="35"/>
      <c r="D18" s="35"/>
      <c r="E18" s="35"/>
      <c r="F18" s="35"/>
      <c r="G18" s="35"/>
      <c r="H18" s="35"/>
      <c r="I18" s="35"/>
      <c r="J18" s="143"/>
    </row>
    <row r="19" spans="1:10" ht="12.75">
      <c r="A19" s="141" t="s">
        <v>428</v>
      </c>
      <c r="B19" s="35"/>
      <c r="C19" s="35"/>
      <c r="D19" s="35"/>
      <c r="E19" s="35"/>
      <c r="F19" s="35"/>
      <c r="G19" s="35"/>
      <c r="H19" s="35"/>
      <c r="I19" s="35"/>
      <c r="J19" s="143"/>
    </row>
    <row r="20" spans="1:10" ht="12.75">
      <c r="A20" s="141"/>
      <c r="B20" s="35"/>
      <c r="C20" s="35"/>
      <c r="D20" s="35"/>
      <c r="E20" s="35"/>
      <c r="F20" s="35"/>
      <c r="G20" s="35"/>
      <c r="H20" s="35"/>
      <c r="I20" s="35"/>
      <c r="J20" s="143"/>
    </row>
    <row r="21" spans="1:10" ht="12.75">
      <c r="A21" s="141" t="s">
        <v>429</v>
      </c>
      <c r="B21" s="35"/>
      <c r="C21" s="35"/>
      <c r="D21" s="35"/>
      <c r="E21" s="35"/>
      <c r="F21" s="35"/>
      <c r="G21" s="35"/>
      <c r="H21" s="35"/>
      <c r="I21" s="35"/>
      <c r="J21" s="143"/>
    </row>
    <row r="22" spans="1:10" ht="12.75">
      <c r="A22" s="4"/>
      <c r="B22" s="146"/>
      <c r="C22" s="146"/>
      <c r="D22" s="146"/>
      <c r="E22" s="146"/>
      <c r="F22" s="146"/>
      <c r="G22" s="146"/>
      <c r="H22" s="146"/>
      <c r="I22" s="146"/>
      <c r="J22" s="148"/>
    </row>
    <row r="24" spans="1:9" ht="12.75">
      <c r="A24" s="253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30.28125" style="0" customWidth="1"/>
  </cols>
  <sheetData>
    <row r="1" spans="1:6" ht="12.75">
      <c r="A1" s="277" t="s">
        <v>56</v>
      </c>
      <c r="B1" s="277"/>
      <c r="C1" s="277"/>
      <c r="D1" s="277"/>
      <c r="E1" s="277"/>
      <c r="F1" s="277"/>
    </row>
    <row r="2" spans="1:6" ht="12.75">
      <c r="A2" s="277" t="s">
        <v>57</v>
      </c>
      <c r="B2" s="277"/>
      <c r="C2" s="277"/>
      <c r="D2" s="277"/>
      <c r="E2" s="277"/>
      <c r="F2" s="277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519</v>
      </c>
      <c r="C9" s="6">
        <v>0.1</v>
      </c>
      <c r="D9" s="6">
        <v>4.3</v>
      </c>
      <c r="E9" s="7">
        <f aca="true" t="shared" si="0" ref="E9:E21">C9*D9</f>
        <v>0.43</v>
      </c>
    </row>
    <row r="10" spans="2:5" ht="12.75">
      <c r="B10" s="6" t="s">
        <v>520</v>
      </c>
      <c r="C10" s="6">
        <v>0.72</v>
      </c>
      <c r="D10" s="6">
        <v>4.3</v>
      </c>
      <c r="E10" s="7">
        <f t="shared" si="0"/>
        <v>3.0959999999999996</v>
      </c>
    </row>
    <row r="11" spans="2:5" ht="12.75">
      <c r="B11" s="6" t="s">
        <v>521</v>
      </c>
      <c r="C11" s="6">
        <v>0.25</v>
      </c>
      <c r="D11" s="6">
        <v>4.3</v>
      </c>
      <c r="E11" s="7">
        <f t="shared" si="0"/>
        <v>1.075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4.601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35.16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2.54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89.3064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89.3064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27.3277584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2" sqref="H32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118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3" ht="13.5" thickBot="1">
      <c r="A4" s="69"/>
      <c r="B4" s="294" t="s">
        <v>119</v>
      </c>
      <c r="C4" s="294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523</v>
      </c>
      <c r="C9" s="89" t="s">
        <v>525</v>
      </c>
      <c r="D9" s="6">
        <v>0.1</v>
      </c>
      <c r="E9" s="90">
        <v>0.33</v>
      </c>
      <c r="F9" s="90">
        <v>0.7</v>
      </c>
      <c r="G9" s="90">
        <f>0.8*0.9</f>
        <v>0.7200000000000001</v>
      </c>
      <c r="H9" s="90">
        <v>0.57</v>
      </c>
      <c r="I9" s="89">
        <v>0.9</v>
      </c>
      <c r="J9" s="91">
        <f>D9*E9*F9*G9*H9*I9</f>
        <v>0.008532215999999999</v>
      </c>
    </row>
    <row r="10" spans="2:10" ht="12.75">
      <c r="B10" s="92" t="s">
        <v>524</v>
      </c>
      <c r="C10" s="89" t="s">
        <v>525</v>
      </c>
      <c r="D10" s="6">
        <v>0.72</v>
      </c>
      <c r="E10" s="6">
        <v>0.33</v>
      </c>
      <c r="F10" s="90">
        <v>0.7</v>
      </c>
      <c r="G10" s="90">
        <f>0.8*0.9</f>
        <v>0.7200000000000001</v>
      </c>
      <c r="H10" s="6">
        <v>0.65</v>
      </c>
      <c r="I10" s="89">
        <v>0.9</v>
      </c>
      <c r="J10" s="91">
        <f aca="true" t="shared" si="0" ref="J10:J18">D10*E10*F10*G10*H10*I10</f>
        <v>0.07005398400000001</v>
      </c>
    </row>
    <row r="11" spans="2:10" ht="12.75">
      <c r="B11" s="92" t="s">
        <v>381</v>
      </c>
      <c r="C11" s="89" t="s">
        <v>525</v>
      </c>
      <c r="D11" s="6">
        <v>0.25</v>
      </c>
      <c r="E11" s="6">
        <v>0.84</v>
      </c>
      <c r="F11" s="90">
        <v>0.7</v>
      </c>
      <c r="G11" s="272">
        <f>0.48*0.9</f>
        <v>0.432</v>
      </c>
      <c r="H11" s="6">
        <v>0.57</v>
      </c>
      <c r="I11" s="89">
        <v>0.9</v>
      </c>
      <c r="J11" s="91">
        <f t="shared" si="0"/>
        <v>0.032577551999999996</v>
      </c>
    </row>
    <row r="12" spans="2:10" ht="12.75">
      <c r="B12" s="92"/>
      <c r="C12" s="93"/>
      <c r="D12" s="94"/>
      <c r="E12" s="6"/>
      <c r="F12" s="6"/>
      <c r="G12" s="6"/>
      <c r="H12" s="6"/>
      <c r="I12" s="93"/>
      <c r="J12" s="91">
        <f t="shared" si="0"/>
        <v>0</v>
      </c>
    </row>
    <row r="13" spans="2:10" ht="12.75">
      <c r="B13" s="92"/>
      <c r="C13" s="93"/>
      <c r="D13" s="94"/>
      <c r="E13" s="6"/>
      <c r="F13" s="6"/>
      <c r="G13" s="6"/>
      <c r="H13" s="6"/>
      <c r="I13" s="93"/>
      <c r="J13" s="91">
        <f t="shared" si="0"/>
        <v>0</v>
      </c>
    </row>
    <row r="14" spans="2:10" ht="12.75">
      <c r="B14" s="92"/>
      <c r="C14" s="93"/>
      <c r="D14" s="94"/>
      <c r="E14" s="6"/>
      <c r="F14" s="6"/>
      <c r="G14" s="6"/>
      <c r="H14" s="6"/>
      <c r="I14" s="93"/>
      <c r="J14" s="91">
        <f t="shared" si="0"/>
        <v>0</v>
      </c>
    </row>
    <row r="15" spans="2:10" ht="12.75">
      <c r="B15" s="92"/>
      <c r="C15" s="93"/>
      <c r="D15" s="94"/>
      <c r="E15" s="6"/>
      <c r="F15" s="6"/>
      <c r="G15" s="6"/>
      <c r="H15" s="6"/>
      <c r="I15" s="93"/>
      <c r="J15" s="91">
        <f t="shared" si="0"/>
        <v>0</v>
      </c>
    </row>
    <row r="16" spans="2:10" ht="12.75">
      <c r="B16" s="92"/>
      <c r="C16" s="93"/>
      <c r="D16" s="94"/>
      <c r="E16" s="6"/>
      <c r="F16" s="6"/>
      <c r="G16" s="6"/>
      <c r="H16" s="6"/>
      <c r="I16" s="93"/>
      <c r="J16" s="91">
        <f t="shared" si="0"/>
        <v>0</v>
      </c>
    </row>
    <row r="17" spans="2:10" ht="12.75">
      <c r="B17" s="92"/>
      <c r="C17" s="93"/>
      <c r="D17" s="94"/>
      <c r="E17" s="6"/>
      <c r="F17" s="6"/>
      <c r="G17" s="6"/>
      <c r="H17" s="6"/>
      <c r="I17" s="93"/>
      <c r="J17" s="91">
        <f t="shared" si="0"/>
        <v>0</v>
      </c>
    </row>
    <row r="18" spans="2:10" ht="13.5" thickBot="1">
      <c r="B18" s="95"/>
      <c r="C18" s="96"/>
      <c r="D18" s="97"/>
      <c r="E18" s="98"/>
      <c r="F18" s="98"/>
      <c r="G18" s="98"/>
      <c r="H18" s="98"/>
      <c r="I18" s="96"/>
      <c r="J18" s="91">
        <f t="shared" si="0"/>
        <v>0</v>
      </c>
    </row>
    <row r="20" spans="3:10" ht="14.25">
      <c r="C20" s="289" t="s">
        <v>144</v>
      </c>
      <c r="D20" s="289"/>
      <c r="E20" s="289"/>
      <c r="F20" s="289"/>
      <c r="G20" s="289"/>
      <c r="H20" s="289"/>
      <c r="J20" s="9">
        <f>SUM(J9:J18)</f>
        <v>0.111163752</v>
      </c>
    </row>
    <row r="21" spans="3:10" ht="12.75">
      <c r="C21" s="99"/>
      <c r="D21" s="99"/>
      <c r="E21" s="99"/>
      <c r="F21" s="99"/>
      <c r="G21" s="99"/>
      <c r="H21" s="99"/>
      <c r="J21" s="36" t="s">
        <v>64</v>
      </c>
    </row>
    <row r="22" spans="3:7" ht="12.75">
      <c r="C22" s="289" t="s">
        <v>145</v>
      </c>
      <c r="D22" s="289"/>
      <c r="E22" s="289"/>
      <c r="F22" s="289"/>
      <c r="G22" s="289"/>
    </row>
    <row r="23" spans="3:10" ht="13.5">
      <c r="C23" t="s">
        <v>146</v>
      </c>
      <c r="D23" s="273" t="s">
        <v>526</v>
      </c>
      <c r="E23" s="290" t="s">
        <v>147</v>
      </c>
      <c r="F23" s="291"/>
      <c r="G23" s="291"/>
      <c r="H23" s="291"/>
      <c r="J23" s="6">
        <v>108</v>
      </c>
    </row>
    <row r="24" ht="12.75">
      <c r="J24" s="17" t="s">
        <v>64</v>
      </c>
    </row>
    <row r="25" spans="3:10" ht="12.75">
      <c r="C25" s="100" t="s">
        <v>148</v>
      </c>
      <c r="D25" s="100"/>
      <c r="E25" s="100"/>
      <c r="F25" s="100"/>
      <c r="H25" t="s">
        <v>149</v>
      </c>
      <c r="J25" s="6">
        <v>5.7</v>
      </c>
    </row>
    <row r="26" ht="12.75">
      <c r="J26" s="101" t="s">
        <v>67</v>
      </c>
    </row>
    <row r="27" spans="3:10" ht="12.75">
      <c r="C27" s="289" t="s">
        <v>150</v>
      </c>
      <c r="D27" s="289"/>
      <c r="E27" s="289"/>
      <c r="F27" s="289"/>
      <c r="G27" s="289"/>
      <c r="J27" s="9">
        <f>J20*J23*J25</f>
        <v>68.4324057312</v>
      </c>
    </row>
    <row r="29" spans="2:3" ht="13.5" thickBot="1">
      <c r="B29" s="292" t="s">
        <v>151</v>
      </c>
      <c r="C29" s="292"/>
    </row>
    <row r="30" spans="3:9" ht="13.5" thickTop="1">
      <c r="C30" s="102"/>
      <c r="D30" s="103"/>
      <c r="E30" s="103"/>
      <c r="F30" s="103"/>
      <c r="G30" s="103"/>
      <c r="H30" s="103"/>
      <c r="I30" s="104"/>
    </row>
    <row r="31" spans="3:9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6" t="s">
        <v>154</v>
      </c>
    </row>
    <row r="32" spans="3:9" ht="12.75">
      <c r="C32" s="107"/>
      <c r="D32" s="35"/>
      <c r="E32" s="35"/>
      <c r="F32" s="35"/>
      <c r="G32" s="35"/>
      <c r="H32" s="36" t="s">
        <v>64</v>
      </c>
      <c r="I32" s="108"/>
    </row>
    <row r="33" spans="3:9" ht="12.75">
      <c r="C33" s="282" t="s">
        <v>155</v>
      </c>
      <c r="D33" s="283"/>
      <c r="E33" s="283"/>
      <c r="F33" s="283"/>
      <c r="G33" s="35"/>
      <c r="H33" s="9">
        <f>J25</f>
        <v>5.7</v>
      </c>
      <c r="I33" s="106" t="s">
        <v>149</v>
      </c>
    </row>
    <row r="34" spans="3:9" ht="12.75">
      <c r="C34" s="107"/>
      <c r="D34" s="35"/>
      <c r="E34" s="35"/>
      <c r="F34" s="35"/>
      <c r="G34" s="35"/>
      <c r="H34" s="36" t="s">
        <v>64</v>
      </c>
      <c r="I34" s="108"/>
    </row>
    <row r="35" spans="3:9" ht="14.25">
      <c r="C35" s="282" t="s">
        <v>156</v>
      </c>
      <c r="D35" s="283"/>
      <c r="E35" s="283"/>
      <c r="F35" s="35"/>
      <c r="G35" s="35"/>
      <c r="H35" s="9">
        <f>'FCIV.1d'!G5</f>
        <v>35.16</v>
      </c>
      <c r="I35" s="106" t="s">
        <v>30</v>
      </c>
    </row>
    <row r="36" spans="3:9" ht="12.75">
      <c r="C36" s="107"/>
      <c r="D36" s="35"/>
      <c r="E36" s="35"/>
      <c r="F36" s="35"/>
      <c r="G36" s="35"/>
      <c r="H36" s="36" t="s">
        <v>64</v>
      </c>
      <c r="I36" s="108"/>
    </row>
    <row r="37" spans="3:9" ht="12.75">
      <c r="C37" s="107"/>
      <c r="D37" s="35"/>
      <c r="E37" s="35"/>
      <c r="F37" s="35"/>
      <c r="G37" s="35"/>
      <c r="H37" s="68">
        <v>0.72</v>
      </c>
      <c r="I37" s="108"/>
    </row>
    <row r="38" spans="3:9" ht="12.75">
      <c r="C38" s="107"/>
      <c r="D38" s="35"/>
      <c r="E38" s="35"/>
      <c r="F38" s="35"/>
      <c r="G38" s="35"/>
      <c r="H38" s="38" t="s">
        <v>67</v>
      </c>
      <c r="I38" s="108"/>
    </row>
    <row r="39" spans="3:9" ht="12.75">
      <c r="C39" s="282" t="s">
        <v>157</v>
      </c>
      <c r="D39" s="283"/>
      <c r="E39" s="283"/>
      <c r="F39" s="35"/>
      <c r="G39" s="35"/>
      <c r="H39" s="9">
        <f>H31*H33*H35*H37</f>
        <v>577.1865599999999</v>
      </c>
      <c r="I39" s="106" t="s">
        <v>158</v>
      </c>
    </row>
    <row r="40" spans="3:9" ht="13.5" thickBot="1">
      <c r="C40" s="109"/>
      <c r="D40" s="110"/>
      <c r="E40" s="110"/>
      <c r="F40" s="110"/>
      <c r="G40" s="110"/>
      <c r="H40" s="110"/>
      <c r="I40" s="111"/>
    </row>
    <row r="41" ht="14.25" thickBot="1" thickTop="1"/>
    <row r="42" spans="2:14" ht="13.5" thickTop="1">
      <c r="B42" s="284" t="s">
        <v>159</v>
      </c>
      <c r="C42" s="285"/>
      <c r="D42" s="285"/>
      <c r="E42" s="103"/>
      <c r="F42" s="103"/>
      <c r="G42" s="103"/>
      <c r="H42" s="103"/>
      <c r="I42" s="103"/>
      <c r="J42" s="104"/>
      <c r="L42" s="112" t="s">
        <v>160</v>
      </c>
      <c r="M42" s="113"/>
      <c r="N42" s="114"/>
    </row>
    <row r="43" spans="2:14" ht="12.75">
      <c r="B43" s="107"/>
      <c r="C43" s="35"/>
      <c r="D43" s="35"/>
      <c r="E43" s="35"/>
      <c r="F43" s="35"/>
      <c r="G43" s="35"/>
      <c r="H43" s="35"/>
      <c r="I43" s="35"/>
      <c r="J43" s="108"/>
      <c r="L43" s="115"/>
      <c r="M43" s="116"/>
      <c r="N43" s="117"/>
    </row>
    <row r="44" spans="2:14" ht="12.75">
      <c r="B44" s="107"/>
      <c r="C44" s="286" t="s">
        <v>161</v>
      </c>
      <c r="D44" s="287" t="s">
        <v>162</v>
      </c>
      <c r="E44" s="287"/>
      <c r="F44" s="287"/>
      <c r="G44" s="287"/>
      <c r="H44" s="287"/>
      <c r="I44" s="9">
        <f>J27+H39</f>
        <v>645.6189657311999</v>
      </c>
      <c r="J44" s="108"/>
      <c r="L44" s="115" t="s">
        <v>163</v>
      </c>
      <c r="M44" s="118" t="s">
        <v>164</v>
      </c>
      <c r="N44" s="117">
        <f>F47/(F47+1)</f>
        <v>0.7222222222222222</v>
      </c>
    </row>
    <row r="45" spans="2:14" ht="12.75">
      <c r="B45" s="107"/>
      <c r="C45" s="286"/>
      <c r="D45" s="288" t="s">
        <v>165</v>
      </c>
      <c r="E45" s="288"/>
      <c r="F45" s="288"/>
      <c r="G45" s="288"/>
      <c r="H45" s="288"/>
      <c r="I45" s="7">
        <f>'FCIV.2'!I22</f>
        <v>4826.985114624</v>
      </c>
      <c r="J45" s="108"/>
      <c r="L45" s="115"/>
      <c r="M45" s="116"/>
      <c r="N45" s="117"/>
    </row>
    <row r="46" spans="2:14" ht="12.75">
      <c r="B46" s="107"/>
      <c r="C46" s="35"/>
      <c r="D46" s="35"/>
      <c r="E46" s="35"/>
      <c r="F46" s="35"/>
      <c r="G46" s="35"/>
      <c r="H46" s="35"/>
      <c r="I46" s="35"/>
      <c r="J46" s="108"/>
      <c r="L46" s="115" t="s">
        <v>166</v>
      </c>
      <c r="M46" s="118" t="s">
        <v>164</v>
      </c>
      <c r="N46" s="117">
        <f>(1-H47^F47)/(1-H47^(F47+1))</f>
        <v>0.9953619655288549</v>
      </c>
    </row>
    <row r="47" spans="2:14" ht="15.75">
      <c r="B47" s="280" t="s">
        <v>167</v>
      </c>
      <c r="C47" s="281"/>
      <c r="D47" s="6">
        <v>2</v>
      </c>
      <c r="E47" s="55" t="s">
        <v>168</v>
      </c>
      <c r="F47" s="120" t="str">
        <f>IF(D47=1,"1,8",IF(D47=2,"2,6","4,2"))</f>
        <v>2,6</v>
      </c>
      <c r="G47" s="121" t="s">
        <v>161</v>
      </c>
      <c r="H47" s="8">
        <f>I44/I45</f>
        <v>0.1337520109136468</v>
      </c>
      <c r="I47" s="35"/>
      <c r="J47" s="108"/>
      <c r="L47" s="122"/>
      <c r="M47" s="123"/>
      <c r="N47" s="124"/>
    </row>
    <row r="48" spans="2:14" ht="12.75">
      <c r="B48" s="125" t="s">
        <v>169</v>
      </c>
      <c r="C48" s="105"/>
      <c r="D48" s="105"/>
      <c r="E48" s="105"/>
      <c r="F48" s="35"/>
      <c r="G48" s="35"/>
      <c r="H48" s="35"/>
      <c r="I48" s="35"/>
      <c r="J48" s="108"/>
      <c r="L48" s="35"/>
      <c r="M48" s="35"/>
      <c r="N48" s="35"/>
    </row>
    <row r="49" spans="2:14" ht="15.75">
      <c r="B49" s="126" t="s">
        <v>172</v>
      </c>
      <c r="C49" s="127"/>
      <c r="E49" s="35"/>
      <c r="F49" s="36" t="s">
        <v>170</v>
      </c>
      <c r="G49" s="35"/>
      <c r="H49" s="35"/>
      <c r="I49" s="8">
        <f>IF(H47=1,N44,N46)</f>
        <v>0.9953619655288549</v>
      </c>
      <c r="J49" s="108"/>
      <c r="L49" s="35"/>
      <c r="M49" s="35"/>
      <c r="N49" s="35"/>
    </row>
    <row r="50" spans="2:14" ht="12.75">
      <c r="B50" s="107"/>
      <c r="C50" s="35"/>
      <c r="E50" s="35"/>
      <c r="F50" s="35"/>
      <c r="G50" s="35"/>
      <c r="H50" s="35"/>
      <c r="I50" s="36" t="s">
        <v>64</v>
      </c>
      <c r="J50" s="108"/>
      <c r="L50" s="35"/>
      <c r="M50" s="35"/>
      <c r="N50" s="35"/>
    </row>
    <row r="51" spans="2:14" ht="12.75">
      <c r="B51" s="282" t="s">
        <v>162</v>
      </c>
      <c r="C51" s="283"/>
      <c r="D51" s="283"/>
      <c r="E51" s="283"/>
      <c r="F51" s="283"/>
      <c r="G51" s="35"/>
      <c r="H51" s="35"/>
      <c r="I51" s="9">
        <f>I44</f>
        <v>645.6189657311999</v>
      </c>
      <c r="J51" s="108"/>
      <c r="L51" s="35"/>
      <c r="M51" s="35"/>
      <c r="N51" s="35"/>
    </row>
    <row r="52" spans="2:14" ht="12.75">
      <c r="B52" s="107"/>
      <c r="C52" s="35"/>
      <c r="D52" s="35"/>
      <c r="E52" s="35"/>
      <c r="F52" s="35"/>
      <c r="G52" s="35"/>
      <c r="H52" s="35"/>
      <c r="I52" s="38" t="s">
        <v>67</v>
      </c>
      <c r="J52" s="108"/>
      <c r="L52" s="35"/>
      <c r="M52" s="35"/>
      <c r="N52" s="35"/>
    </row>
    <row r="53" spans="2:10" ht="12.75">
      <c r="B53" s="126"/>
      <c r="C53" s="127"/>
      <c r="D53" s="127"/>
      <c r="E53" s="281" t="s">
        <v>171</v>
      </c>
      <c r="F53" s="281"/>
      <c r="G53" s="281"/>
      <c r="H53" s="35"/>
      <c r="I53" s="8">
        <f>I49*I51</f>
        <v>642.6245627129135</v>
      </c>
      <c r="J53" s="108"/>
    </row>
    <row r="54" spans="2:10" ht="12.75">
      <c r="B54" s="107"/>
      <c r="C54" s="35"/>
      <c r="D54" s="35"/>
      <c r="E54" s="35"/>
      <c r="F54" s="35"/>
      <c r="G54" s="35"/>
      <c r="H54" s="35"/>
      <c r="I54" s="35"/>
      <c r="J54" s="108"/>
    </row>
    <row r="55" spans="2:10" ht="13.5" thickBot="1">
      <c r="B55" s="109"/>
      <c r="C55" s="110"/>
      <c r="D55" s="110"/>
      <c r="E55" s="110"/>
      <c r="F55" s="110"/>
      <c r="G55" s="110"/>
      <c r="H55" s="110"/>
      <c r="I55" s="110"/>
      <c r="J55" s="111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I41" sqref="I41"/>
    </sheetView>
  </sheetViews>
  <sheetFormatPr defaultColWidth="9.140625" defaultRowHeight="12.75"/>
  <sheetData>
    <row r="1" spans="1:11" ht="12.75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5" ht="13.5" thickBot="1"/>
    <row r="6" spans="2:10" ht="12.75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8" t="s">
        <v>176</v>
      </c>
      <c r="C8" s="127"/>
      <c r="D8" s="127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5" t="s">
        <v>179</v>
      </c>
      <c r="C10" s="283"/>
      <c r="D10" s="35"/>
      <c r="E10" s="35"/>
      <c r="F10" s="35"/>
      <c r="G10" s="35"/>
      <c r="H10" s="35"/>
      <c r="I10" s="6">
        <f>SUM('FCIV.1a'!C8:C10)</f>
        <v>18.88</v>
      </c>
      <c r="J10" s="37"/>
    </row>
    <row r="11" spans="2:10" ht="12.75">
      <c r="B11" s="295" t="s">
        <v>180</v>
      </c>
      <c r="C11" s="283"/>
      <c r="D11" s="283"/>
      <c r="E11" s="35"/>
      <c r="F11" s="35"/>
      <c r="G11" s="35"/>
      <c r="H11" s="35"/>
      <c r="I11" s="6"/>
      <c r="J11" s="37"/>
    </row>
    <row r="12" spans="2:10" ht="12.75">
      <c r="B12" s="295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2:10" ht="12.75">
      <c r="B13" s="295" t="s">
        <v>182</v>
      </c>
      <c r="C13" s="283"/>
      <c r="D13" s="283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5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5" t="s">
        <v>185</v>
      </c>
      <c r="C17" s="283"/>
      <c r="D17" s="35"/>
      <c r="E17" s="35"/>
      <c r="F17" s="35"/>
      <c r="G17" s="35"/>
      <c r="H17" s="35"/>
      <c r="I17" s="6">
        <f>('FCIV.1b'!C8*'FCIV.1b'!E8)+('FCIV.1b'!C9*'FCIV.1b'!E9)</f>
        <v>10.823999999999998</v>
      </c>
      <c r="J17" s="37"/>
    </row>
    <row r="18" spans="2:10" ht="12.75">
      <c r="B18" s="296" t="s">
        <v>527</v>
      </c>
      <c r="C18" s="283"/>
      <c r="D18" s="283"/>
      <c r="E18" s="35"/>
      <c r="F18" s="35"/>
      <c r="G18" s="35"/>
      <c r="H18" s="35"/>
      <c r="I18" s="6">
        <f>('FCIV.1b'!C26*'FCIV.1b'!E26)+('FCIV.1b'!C27*'FCIV.1b'!E27)</f>
        <v>31.222</v>
      </c>
      <c r="J18" s="37"/>
    </row>
    <row r="19" spans="2:10" ht="12.75">
      <c r="B19" s="295" t="s">
        <v>186</v>
      </c>
      <c r="C19" s="283"/>
      <c r="D19" s="283"/>
      <c r="E19" s="35"/>
      <c r="F19" s="35"/>
      <c r="G19" s="35"/>
      <c r="H19" s="35"/>
      <c r="I19" s="6"/>
      <c r="J19" s="37"/>
    </row>
    <row r="20" spans="2:10" ht="12.75">
      <c r="B20" s="295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60.926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5" t="s">
        <v>189</v>
      </c>
      <c r="C24" s="283"/>
      <c r="D24" s="35"/>
      <c r="E24" s="35"/>
      <c r="F24" s="35"/>
      <c r="G24" s="35"/>
      <c r="H24" s="35"/>
      <c r="I24" s="9">
        <f>'FCIV.1d'!G9</f>
        <v>89.3064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29" t="s">
        <v>190</v>
      </c>
      <c r="C26" s="35"/>
      <c r="D26" s="35"/>
      <c r="E26" s="35"/>
      <c r="F26" s="35"/>
      <c r="G26" s="35"/>
      <c r="H26" s="35"/>
      <c r="I26" s="8">
        <f>I22/I24</f>
        <v>0.6822131448585992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0" t="s">
        <v>193</v>
      </c>
    </row>
    <row r="33" spans="2:10" ht="12.75">
      <c r="B33" s="295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1">
        <f>4.5+0.0395*I30</f>
        <v>59.405</v>
      </c>
    </row>
    <row r="34" spans="2:10" ht="12.75">
      <c r="B34" s="295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1">
        <f>4.5+(0.021+0.037*I26)*I30</f>
        <v>68.77622204007776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1"/>
    </row>
    <row r="36" spans="2:10" ht="12.75">
      <c r="B36" s="295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1">
        <f>(4.5+(0.021+0.037*I26)*I30)*(1.2-0.2*I26)</f>
        <v>73.14745790220236</v>
      </c>
    </row>
    <row r="37" spans="2:10" ht="12.75">
      <c r="B37" s="295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1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2"/>
    </row>
    <row r="41" spans="2:9" ht="12.75">
      <c r="B41" s="133" t="s">
        <v>202</v>
      </c>
      <c r="C41" s="127"/>
      <c r="D41" s="127"/>
      <c r="I41" s="8">
        <f>IF(I26&lt;0.5,J33,IF(I26&lt;1,J34,IF(I26&lt;1.5,J36,J37)))</f>
        <v>68.77622204007776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I30" sqref="I30:J30"/>
    </sheetView>
  </sheetViews>
  <sheetFormatPr defaultColWidth="9.140625" defaultRowHeight="12.75"/>
  <sheetData>
    <row r="1" spans="1:11" ht="12.75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204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ht="13.5" thickBot="1"/>
    <row r="5" spans="2:10" ht="13.5" thickBot="1">
      <c r="B5" s="297" t="s">
        <v>205</v>
      </c>
      <c r="C5" s="298"/>
      <c r="D5" s="298"/>
      <c r="E5" s="298"/>
      <c r="F5" s="298"/>
      <c r="G5" s="321"/>
      <c r="H5" s="322" t="s">
        <v>6</v>
      </c>
      <c r="I5" s="319"/>
      <c r="J5" s="320"/>
    </row>
    <row r="6" spans="2:10" ht="12.75">
      <c r="B6" s="315"/>
      <c r="C6" s="316"/>
      <c r="D6" s="316"/>
      <c r="E6" s="316"/>
      <c r="F6" s="316"/>
      <c r="G6" s="317"/>
      <c r="H6" s="318"/>
      <c r="I6" s="319"/>
      <c r="J6" s="320"/>
    </row>
    <row r="7" spans="2:10" ht="12.75">
      <c r="B7" s="295" t="s">
        <v>206</v>
      </c>
      <c r="C7" s="283"/>
      <c r="D7" s="283"/>
      <c r="E7" s="283"/>
      <c r="F7" s="283"/>
      <c r="G7" s="309"/>
      <c r="H7" s="312">
        <f>'FCIV.1a'!E52</f>
        <v>38.6325</v>
      </c>
      <c r="I7" s="281"/>
      <c r="J7" s="311"/>
    </row>
    <row r="8" spans="2:10" ht="12.75">
      <c r="B8" s="295"/>
      <c r="C8" s="283"/>
      <c r="D8" s="283"/>
      <c r="E8" s="283"/>
      <c r="F8" s="283"/>
      <c r="G8" s="309"/>
      <c r="H8" s="310"/>
      <c r="I8" s="281"/>
      <c r="J8" s="311"/>
    </row>
    <row r="9" spans="2:10" ht="12.75">
      <c r="B9" s="295" t="s">
        <v>207</v>
      </c>
      <c r="C9" s="283"/>
      <c r="D9" s="283"/>
      <c r="E9" s="283"/>
      <c r="F9" s="283"/>
      <c r="G9" s="309"/>
      <c r="H9" s="312">
        <f>'FCIV.1b'!F49</f>
        <v>74.13254</v>
      </c>
      <c r="I9" s="281"/>
      <c r="J9" s="311"/>
    </row>
    <row r="10" spans="2:10" ht="12.75">
      <c r="B10" s="295"/>
      <c r="C10" s="283"/>
      <c r="D10" s="283"/>
      <c r="E10" s="283"/>
      <c r="F10" s="283"/>
      <c r="G10" s="309"/>
      <c r="H10" s="310"/>
      <c r="I10" s="281"/>
      <c r="J10" s="311"/>
    </row>
    <row r="11" spans="2:10" ht="12.75">
      <c r="B11" s="295" t="s">
        <v>208</v>
      </c>
      <c r="C11" s="283"/>
      <c r="D11" s="283"/>
      <c r="E11" s="283"/>
      <c r="F11" s="283"/>
      <c r="G11" s="309"/>
      <c r="H11" s="312">
        <f>'FCIV.1c'!E22</f>
        <v>4.601</v>
      </c>
      <c r="I11" s="281"/>
      <c r="J11" s="311"/>
    </row>
    <row r="12" spans="2:10" ht="12.75">
      <c r="B12" s="295"/>
      <c r="C12" s="283"/>
      <c r="D12" s="283"/>
      <c r="E12" s="283"/>
      <c r="F12" s="283"/>
      <c r="G12" s="309"/>
      <c r="H12" s="310"/>
      <c r="I12" s="281"/>
      <c r="J12" s="311"/>
    </row>
    <row r="13" spans="2:10" ht="12.75">
      <c r="B13" s="295" t="s">
        <v>209</v>
      </c>
      <c r="C13" s="283"/>
      <c r="D13" s="283"/>
      <c r="E13" s="283"/>
      <c r="F13" s="283"/>
      <c r="G13" s="309"/>
      <c r="H13" s="312">
        <f>'FCIV.1d'!G60</f>
        <v>27.3277584</v>
      </c>
      <c r="I13" s="313"/>
      <c r="J13" s="314"/>
    </row>
    <row r="14" spans="2:10" ht="13.5" thickBot="1">
      <c r="B14" s="305"/>
      <c r="C14" s="306"/>
      <c r="D14" s="306"/>
      <c r="E14" s="306"/>
      <c r="F14" s="306"/>
      <c r="G14" s="307"/>
      <c r="H14" s="305"/>
      <c r="I14" s="306"/>
      <c r="J14" s="307"/>
    </row>
    <row r="15" spans="9:10" ht="13.5" thickBot="1">
      <c r="I15" s="308" t="s">
        <v>67</v>
      </c>
      <c r="J15" s="306"/>
    </row>
    <row r="16" spans="2:10" ht="13.5" thickBot="1">
      <c r="B16" t="s">
        <v>210</v>
      </c>
      <c r="I16" s="303">
        <f>SUM(H7,H9,H11,H13)</f>
        <v>144.6937984</v>
      </c>
      <c r="J16" s="304"/>
    </row>
    <row r="17" spans="9:10" ht="13.5" thickBot="1">
      <c r="I17" s="300" t="s">
        <v>64</v>
      </c>
      <c r="J17" s="300"/>
    </row>
    <row r="18" spans="2:10" ht="13.5" thickBot="1">
      <c r="B18" t="s">
        <v>211</v>
      </c>
      <c r="I18" s="303">
        <f>'FCIV.1f'!I30</f>
        <v>1390</v>
      </c>
      <c r="J18" s="304"/>
    </row>
    <row r="19" spans="9:10" ht="13.5" thickBot="1">
      <c r="I19" s="300" t="s">
        <v>64</v>
      </c>
      <c r="J19" s="300"/>
    </row>
    <row r="20" spans="9:10" ht="13.5" thickBot="1">
      <c r="I20" s="301">
        <v>0.024</v>
      </c>
      <c r="J20" s="302"/>
    </row>
    <row r="21" spans="9:10" ht="13.5" thickBot="1">
      <c r="I21" s="299" t="s">
        <v>67</v>
      </c>
      <c r="J21" s="300"/>
    </row>
    <row r="22" spans="2:10" ht="13.5" thickBot="1">
      <c r="B22" t="s">
        <v>212</v>
      </c>
      <c r="I22" s="303">
        <f>I16*I18*I20+'FCIV.1d'!G50</f>
        <v>4826.985114624</v>
      </c>
      <c r="J22" s="304"/>
    </row>
    <row r="23" spans="9:10" ht="13.5" thickBot="1">
      <c r="I23" s="299" t="s">
        <v>213</v>
      </c>
      <c r="J23" s="300"/>
    </row>
    <row r="24" spans="2:10" ht="13.5" thickBot="1">
      <c r="B24" t="s">
        <v>214</v>
      </c>
      <c r="I24" s="303">
        <f>'FCIV.1e'!I53</f>
        <v>642.6245627129135</v>
      </c>
      <c r="J24" s="304"/>
    </row>
    <row r="25" spans="9:10" ht="13.5" thickBot="1">
      <c r="I25" s="299" t="s">
        <v>67</v>
      </c>
      <c r="J25" s="300"/>
    </row>
    <row r="26" spans="2:10" ht="13.5" thickBot="1">
      <c r="B26" t="s">
        <v>215</v>
      </c>
      <c r="I26" s="303">
        <f>I22-I24</f>
        <v>4184.360551911086</v>
      </c>
      <c r="J26" s="304"/>
    </row>
    <row r="27" spans="9:10" ht="13.5" thickBot="1">
      <c r="I27" s="300" t="s">
        <v>100</v>
      </c>
      <c r="J27" s="300"/>
    </row>
    <row r="28" spans="2:10" ht="13.5" thickBot="1">
      <c r="B28" t="s">
        <v>216</v>
      </c>
      <c r="I28" s="303">
        <f>'FCIV.1d'!G5</f>
        <v>35.16</v>
      </c>
      <c r="J28" s="304"/>
    </row>
    <row r="29" spans="9:10" ht="13.5" thickBot="1">
      <c r="I29" s="299" t="s">
        <v>67</v>
      </c>
      <c r="J29" s="300"/>
    </row>
    <row r="30" spans="2:10" ht="13.5" thickBot="1">
      <c r="B30" t="s">
        <v>217</v>
      </c>
      <c r="I30" s="301">
        <f>I26/I28</f>
        <v>119.00911694855195</v>
      </c>
      <c r="J30" s="302"/>
    </row>
    <row r="31" spans="9:10" ht="13.5" thickBot="1">
      <c r="I31" s="300" t="s">
        <v>300</v>
      </c>
      <c r="J31" s="300"/>
    </row>
    <row r="32" spans="2:10" ht="13.5" thickBot="1">
      <c r="B32" t="s">
        <v>218</v>
      </c>
      <c r="I32" s="303">
        <f>'FCIV.1f'!I41</f>
        <v>68.77622204007776</v>
      </c>
      <c r="J32" s="304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6" t="s">
        <v>219</v>
      </c>
      <c r="I36" s="137">
        <f>I30/I32</f>
        <v>1.730381713598664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35" sqref="I35"/>
    </sheetView>
  </sheetViews>
  <sheetFormatPr defaultColWidth="9.140625" defaultRowHeight="12.75"/>
  <sheetData>
    <row r="1" spans="1:11" ht="12.75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8"/>
      <c r="C6" s="63"/>
      <c r="D6" s="63"/>
      <c r="E6" s="63"/>
      <c r="F6" s="63"/>
      <c r="G6" s="63"/>
      <c r="H6" s="63"/>
      <c r="I6" s="139"/>
      <c r="J6" s="140"/>
    </row>
    <row r="7" spans="2:10" ht="12.75">
      <c r="B7" s="141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25.86</v>
      </c>
      <c r="J7" s="77" t="s">
        <v>6</v>
      </c>
    </row>
    <row r="8" spans="2:10" ht="12.75">
      <c r="B8" s="141"/>
      <c r="C8" s="35"/>
      <c r="D8" s="35"/>
      <c r="E8" s="35"/>
      <c r="F8" s="35"/>
      <c r="G8" s="35"/>
      <c r="H8" s="35"/>
      <c r="I8" s="142" t="s">
        <v>224</v>
      </c>
      <c r="J8" s="143"/>
    </row>
    <row r="9" spans="2:10" ht="12.75">
      <c r="B9" s="141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1"/>
      <c r="C10" s="35"/>
      <c r="D10" s="35"/>
      <c r="E10" s="35"/>
      <c r="F10" s="35"/>
      <c r="G10" s="35"/>
      <c r="H10" s="35"/>
      <c r="I10" s="142" t="s">
        <v>224</v>
      </c>
      <c r="J10" s="143"/>
    </row>
    <row r="11" spans="2:10" ht="12.75">
      <c r="B11" s="141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1"/>
      <c r="C12" s="35"/>
      <c r="D12" s="35"/>
      <c r="E12" s="35"/>
      <c r="F12" s="35"/>
      <c r="G12" s="35"/>
      <c r="H12" s="35"/>
      <c r="I12" s="142" t="s">
        <v>224</v>
      </c>
      <c r="J12" s="143"/>
    </row>
    <row r="13" spans="2:10" ht="12.75">
      <c r="B13" s="141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4.601</v>
      </c>
      <c r="J13" s="77" t="s">
        <v>6</v>
      </c>
    </row>
    <row r="14" spans="2:10" ht="12.75">
      <c r="B14" s="141"/>
      <c r="C14" s="35"/>
      <c r="D14" s="35"/>
      <c r="E14" s="35"/>
      <c r="F14" s="35"/>
      <c r="G14" s="35"/>
      <c r="H14" s="35"/>
      <c r="I14" s="142" t="s">
        <v>224</v>
      </c>
      <c r="J14" s="143"/>
    </row>
    <row r="15" spans="2:10" ht="12.75">
      <c r="B15" s="141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27.3277584</v>
      </c>
      <c r="J15" s="77" t="s">
        <v>6</v>
      </c>
    </row>
    <row r="16" spans="2:10" ht="12.75">
      <c r="B16" s="141"/>
      <c r="C16" s="35"/>
      <c r="D16" s="35"/>
      <c r="E16" s="35"/>
      <c r="F16" s="35"/>
      <c r="G16" s="35"/>
      <c r="H16" s="35"/>
      <c r="I16" s="144"/>
      <c r="J16" s="77"/>
    </row>
    <row r="17" spans="2:10" ht="12.75">
      <c r="B17" s="141"/>
      <c r="C17" s="35"/>
      <c r="D17" s="35"/>
      <c r="E17" s="35"/>
      <c r="F17" s="35"/>
      <c r="G17" s="35"/>
      <c r="H17" s="35"/>
      <c r="I17" s="142" t="s">
        <v>67</v>
      </c>
      <c r="J17" s="143"/>
    </row>
    <row r="18" spans="2:10" ht="12.75">
      <c r="B18" s="141"/>
      <c r="C18" s="35"/>
      <c r="D18" s="35"/>
      <c r="E18" s="35"/>
      <c r="F18" s="35"/>
      <c r="G18" s="35"/>
      <c r="H18" s="35"/>
      <c r="I18" s="144"/>
      <c r="J18" s="143"/>
    </row>
    <row r="19" spans="2:10" ht="12.75">
      <c r="B19" s="145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57.7887584</v>
      </c>
      <c r="J19" s="77" t="s">
        <v>6</v>
      </c>
    </row>
    <row r="20" spans="2:10" ht="12.75">
      <c r="B20" s="4"/>
      <c r="C20" s="146"/>
      <c r="D20" s="146"/>
      <c r="E20" s="146"/>
      <c r="F20" s="146"/>
      <c r="G20" s="146"/>
      <c r="H20" s="146"/>
      <c r="I20" s="147"/>
      <c r="J20" s="148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8"/>
      <c r="C24" s="63"/>
      <c r="D24" s="63"/>
      <c r="E24" s="63"/>
      <c r="F24" s="63"/>
      <c r="G24" s="63"/>
      <c r="H24" s="63"/>
      <c r="I24" s="63"/>
      <c r="J24" s="140"/>
    </row>
    <row r="25" spans="2:10" ht="12.75">
      <c r="B25" s="141" t="s">
        <v>233</v>
      </c>
      <c r="C25" s="35"/>
      <c r="D25" s="35"/>
      <c r="E25" s="35"/>
      <c r="F25" s="35"/>
      <c r="G25" s="35"/>
      <c r="H25" s="35"/>
      <c r="I25" s="68">
        <v>25</v>
      </c>
      <c r="J25" s="149" t="s">
        <v>234</v>
      </c>
    </row>
    <row r="26" spans="2:10" ht="12.75">
      <c r="B26" s="141"/>
      <c r="C26" s="35"/>
      <c r="D26" s="35"/>
      <c r="E26" s="35"/>
      <c r="F26" s="35"/>
      <c r="G26" s="35"/>
      <c r="H26" s="35"/>
      <c r="I26" s="38" t="s">
        <v>213</v>
      </c>
      <c r="J26" s="143"/>
    </row>
    <row r="27" spans="2:10" ht="12.75">
      <c r="B27" s="141" t="s">
        <v>235</v>
      </c>
      <c r="C27" s="35"/>
      <c r="D27" s="35"/>
      <c r="E27" s="35"/>
      <c r="F27" s="35"/>
      <c r="G27" s="35"/>
      <c r="H27" s="35"/>
      <c r="I27" s="6">
        <v>23</v>
      </c>
      <c r="J27" s="149" t="s">
        <v>234</v>
      </c>
    </row>
    <row r="28" spans="2:10" ht="12.75">
      <c r="B28" s="141" t="s">
        <v>236</v>
      </c>
      <c r="C28" s="35"/>
      <c r="D28" s="35"/>
      <c r="E28" s="35"/>
      <c r="F28" s="35"/>
      <c r="G28" s="35"/>
      <c r="H28" s="35"/>
      <c r="I28" s="38" t="s">
        <v>67</v>
      </c>
      <c r="J28" s="143"/>
    </row>
    <row r="29" spans="2:10" ht="12.75">
      <c r="B29" s="150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6" t="s">
        <v>64</v>
      </c>
      <c r="J30" s="143"/>
    </row>
    <row r="31" spans="2:10" ht="12.75">
      <c r="B31" s="150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57.7887584</v>
      </c>
      <c r="J31" s="149" t="s">
        <v>6</v>
      </c>
    </row>
    <row r="32" spans="2:10" ht="12.75">
      <c r="B32" s="141"/>
      <c r="C32" s="35"/>
      <c r="D32" s="35"/>
      <c r="E32" s="35"/>
      <c r="F32" s="35"/>
      <c r="G32" s="35"/>
      <c r="H32" s="35"/>
      <c r="I32" s="36" t="s">
        <v>64</v>
      </c>
      <c r="J32" s="143"/>
    </row>
    <row r="33" spans="2:10" ht="12.75">
      <c r="B33" s="141"/>
      <c r="C33" s="35"/>
      <c r="D33" s="35"/>
      <c r="E33" s="35"/>
      <c r="F33" s="35"/>
      <c r="G33" s="35"/>
      <c r="H33" s="35"/>
      <c r="I33" s="36">
        <v>2.928</v>
      </c>
      <c r="J33" s="143"/>
    </row>
    <row r="34" spans="2:10" ht="12.75">
      <c r="B34" s="141"/>
      <c r="C34" s="35"/>
      <c r="D34" s="35"/>
      <c r="E34" s="35"/>
      <c r="F34" s="35"/>
      <c r="G34" s="35"/>
      <c r="H34" s="35"/>
      <c r="I34" s="38" t="s">
        <v>67</v>
      </c>
      <c r="J34" s="143"/>
    </row>
    <row r="35" spans="2:10" ht="12.75">
      <c r="B35" s="145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338.4109691904</v>
      </c>
      <c r="J35" s="77" t="s">
        <v>240</v>
      </c>
    </row>
    <row r="36" spans="2:10" ht="12.75">
      <c r="B36" s="10"/>
      <c r="C36" s="146"/>
      <c r="D36" s="146"/>
      <c r="E36" s="146"/>
      <c r="F36" s="146"/>
      <c r="G36" s="146"/>
      <c r="H36" s="146"/>
      <c r="I36" s="146"/>
      <c r="J36" s="151"/>
    </row>
    <row r="37" spans="1:10" ht="12.75">
      <c r="A37" s="35"/>
      <c r="B37" s="152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D36" sqref="D36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7" t="s">
        <v>241</v>
      </c>
      <c r="B1" s="277"/>
      <c r="C1" s="277"/>
      <c r="D1" s="277"/>
      <c r="E1" s="277"/>
      <c r="F1" s="277"/>
    </row>
    <row r="2" spans="1:6" ht="12.75">
      <c r="A2" s="277" t="s">
        <v>242</v>
      </c>
      <c r="B2" s="277"/>
      <c r="C2" s="277"/>
      <c r="D2" s="277"/>
      <c r="E2" s="277"/>
      <c r="F2" s="277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99" t="s">
        <v>243</v>
      </c>
      <c r="C5" s="17"/>
      <c r="D5" s="17"/>
      <c r="E5" s="17"/>
      <c r="F5" s="17"/>
    </row>
    <row r="6" spans="1:6" ht="12.75">
      <c r="A6" s="17"/>
      <c r="B6" s="153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8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519</v>
      </c>
      <c r="C18" s="6">
        <v>0.1</v>
      </c>
      <c r="D18" s="6">
        <v>4.3</v>
      </c>
      <c r="E18" s="22">
        <f aca="true" t="shared" si="0" ref="E18:E29">C18*D18</f>
        <v>0.43</v>
      </c>
    </row>
    <row r="19" spans="2:5" ht="12.75">
      <c r="B19" s="6" t="s">
        <v>520</v>
      </c>
      <c r="C19" s="6">
        <v>0.72</v>
      </c>
      <c r="D19" s="6">
        <v>4.3</v>
      </c>
      <c r="E19" s="22">
        <f t="shared" si="0"/>
        <v>3.0959999999999996</v>
      </c>
    </row>
    <row r="20" spans="2:5" ht="12.75">
      <c r="B20" s="6" t="s">
        <v>521</v>
      </c>
      <c r="C20" s="6">
        <v>0.25</v>
      </c>
      <c r="D20" s="6">
        <v>4.3</v>
      </c>
      <c r="E20" s="22">
        <f t="shared" si="0"/>
        <v>1.075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4.601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2011-05-30T22:19:32Z</dcterms:modified>
  <cp:category/>
  <cp:version/>
  <cp:contentType/>
  <cp:contentStatus/>
</cp:coreProperties>
</file>